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codeName="ThisWorkbook" autoCompressPictures="0"/>
  <bookViews>
    <workbookView xWindow="1160" yWindow="0" windowWidth="27760" windowHeight="18720"/>
  </bookViews>
  <sheets>
    <sheet name="Marketing Budget Plan" sheetId="1" r:id="rId1"/>
    <sheet name="Chart1" sheetId="4" r:id="rId2"/>
    <sheet name="Chart2" sheetId="5" r:id="rId3"/>
    <sheet name="Chart3" sheetId="6" r:id="rId4"/>
    <sheet name="Chart4" sheetId="7" r:id="rId5"/>
  </sheets>
  <definedNames>
    <definedName name="FiscalYear">'Marketing Budget Plan'!$P$1</definedName>
    <definedName name="_xlnm.Print_Titles" localSheetId="0">'Marketing Budget Plan'!$6:$6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33" i="1"/>
  <c r="G46" i="1"/>
  <c r="G8" i="1"/>
  <c r="O8" i="1"/>
  <c r="N8" i="1"/>
  <c r="M8" i="1"/>
  <c r="L8" i="1"/>
  <c r="K8" i="1"/>
  <c r="J8" i="1"/>
  <c r="I8" i="1"/>
  <c r="H8" i="1"/>
  <c r="F8" i="1"/>
  <c r="E8" i="1"/>
  <c r="D8" i="1"/>
  <c r="C8" i="1"/>
  <c r="B8" i="1"/>
  <c r="O18" i="1"/>
  <c r="O19" i="1"/>
  <c r="O20" i="1"/>
  <c r="O21" i="1"/>
  <c r="O22" i="1"/>
  <c r="O23" i="1"/>
  <c r="O24" i="1"/>
  <c r="O25" i="1"/>
  <c r="N25" i="1"/>
  <c r="O28" i="1"/>
  <c r="O29" i="1"/>
  <c r="O30" i="1"/>
  <c r="O31" i="1"/>
  <c r="O32" i="1"/>
  <c r="O33" i="1"/>
  <c r="O36" i="1"/>
  <c r="O37" i="1"/>
  <c r="O38" i="1"/>
  <c r="O39" i="1"/>
  <c r="N36" i="1"/>
  <c r="N37" i="1"/>
  <c r="N38" i="1"/>
  <c r="N39" i="1"/>
  <c r="N24" i="1"/>
  <c r="N23" i="1"/>
  <c r="N22" i="1"/>
  <c r="N21" i="1"/>
  <c r="N20" i="1"/>
  <c r="F39" i="1"/>
  <c r="E39" i="1"/>
  <c r="C39" i="1"/>
  <c r="B39" i="1"/>
  <c r="N42" i="1"/>
  <c r="O42" i="1"/>
  <c r="B6" i="1"/>
  <c r="N43" i="1"/>
  <c r="N44" i="1"/>
  <c r="N45" i="1"/>
  <c r="N29" i="1"/>
  <c r="N30" i="1"/>
  <c r="N31" i="1"/>
  <c r="N32" i="1"/>
  <c r="N28" i="1"/>
  <c r="N19" i="1"/>
  <c r="N18" i="1"/>
  <c r="N12" i="1"/>
  <c r="N13" i="1"/>
  <c r="N14" i="1"/>
  <c r="N11" i="1"/>
  <c r="O43" i="1"/>
  <c r="O44" i="1"/>
  <c r="O45" i="1"/>
  <c r="O11" i="1"/>
  <c r="O12" i="1"/>
  <c r="O13" i="1"/>
  <c r="O14" i="1"/>
  <c r="O15" i="1"/>
  <c r="O46" i="1"/>
  <c r="M46" i="1"/>
  <c r="L46" i="1"/>
  <c r="K46" i="1"/>
  <c r="J46" i="1"/>
  <c r="I46" i="1"/>
  <c r="H46" i="1"/>
  <c r="F46" i="1"/>
  <c r="E46" i="1"/>
  <c r="D46" i="1"/>
  <c r="C46" i="1"/>
  <c r="B46" i="1"/>
  <c r="M33" i="1"/>
  <c r="L33" i="1"/>
  <c r="K33" i="1"/>
  <c r="J33" i="1"/>
  <c r="I33" i="1"/>
  <c r="H33" i="1"/>
  <c r="F33" i="1"/>
  <c r="E33" i="1"/>
  <c r="D33" i="1"/>
  <c r="C33" i="1"/>
  <c r="B33" i="1"/>
  <c r="N33" i="1"/>
  <c r="N46" i="1"/>
  <c r="C15" i="1"/>
  <c r="D15" i="1"/>
  <c r="E15" i="1"/>
  <c r="F15" i="1"/>
  <c r="H15" i="1"/>
  <c r="I15" i="1"/>
  <c r="J15" i="1"/>
  <c r="K15" i="1"/>
  <c r="L15" i="1"/>
  <c r="M15" i="1"/>
  <c r="B15" i="1"/>
  <c r="C6" i="1"/>
  <c r="D6" i="1"/>
  <c r="E6" i="1"/>
  <c r="F6" i="1"/>
  <c r="G6" i="1"/>
  <c r="H6" i="1"/>
  <c r="I6" i="1"/>
  <c r="J6" i="1"/>
  <c r="K6" i="1"/>
  <c r="L6" i="1"/>
  <c r="M6" i="1"/>
  <c r="N15" i="1"/>
</calcChain>
</file>

<file path=xl/comments1.xml><?xml version="1.0" encoding="utf-8"?>
<comments xmlns="http://schemas.openxmlformats.org/spreadsheetml/2006/main">
  <authors>
    <author xml:space="preserve">   </author>
  </authors>
  <commentList>
    <comment ref="Q2" authorId="0">
      <text>
        <r>
          <rPr>
            <b/>
            <sz val="9"/>
            <color indexed="81"/>
            <rFont val="Geneva"/>
          </rPr>
          <t>When you change the fiscal year start date, the headings in row 6 update automatically.</t>
        </r>
      </text>
    </comment>
    <comment ref="Q19" authorId="0">
      <text>
        <r>
          <rPr>
            <b/>
            <sz val="9"/>
            <color indexed="81"/>
            <rFont val="Geneva"/>
          </rPr>
          <t>The small charts you see in the Overview column of each table update automatically to show trends in your data at-a-glance for the full year.
These charts are called Sparklines. When you click into any cell containing a Sparkline, you see a Sparklines tab on the Ribbon where you can customize many aspects of these flexible little charts.</t>
        </r>
      </text>
    </comment>
    <comment ref="A48" authorId="0">
      <text>
        <r>
          <rPr>
            <b/>
            <sz val="9"/>
            <color indexed="81"/>
            <rFont val="Geneva"/>
          </rPr>
          <t>The charts provided on the additional sheets in this workbook give you a visual display of each category table above. Charts update automatically when you change or add data.</t>
        </r>
      </text>
    </comment>
    <comment ref="F48" authorId="0">
      <text>
        <r>
          <rPr>
            <b/>
            <sz val="9"/>
            <color indexed="81"/>
            <rFont val="Geneva"/>
          </rPr>
          <t>Easily apply your own branding to this template. This template is formatted using themes that enable you to apply fonts, colors, and graphic formatting effects throughout the workbook with just a click.
Find themes on the Home tab, in the Themes group. Select from dozens of built-in themes available in the Themes gallery or find options to change just the theme fonts or theme colors.</t>
        </r>
      </text>
    </comment>
    <comment ref="P48" authorId="0">
      <text>
        <r>
          <rPr>
            <b/>
            <sz val="9"/>
            <color indexed="81"/>
            <rFont val="Geneva"/>
          </rPr>
          <t>Add or edit data as needed. To add a row to any of the tables on this sheet, click into the last cell (column P) in the row above the total row and then press the Tab key.</t>
        </r>
      </text>
    </comment>
  </commentList>
</comments>
</file>

<file path=xl/sharedStrings.xml><?xml version="1.0" encoding="utf-8"?>
<sst xmlns="http://schemas.openxmlformats.org/spreadsheetml/2006/main" count="42" uniqueCount="41">
  <si>
    <t>Overview</t>
  </si>
  <si>
    <t>Fiscal Year
Begins:</t>
  </si>
  <si>
    <t>Monthly
Average</t>
  </si>
  <si>
    <t>Marketing Budget</t>
  </si>
  <si>
    <t>Benefits</t>
  </si>
  <si>
    <t>Payroll taxes</t>
  </si>
  <si>
    <t>Personnel Total</t>
  </si>
  <si>
    <t>Other</t>
  </si>
  <si>
    <t>Postage</t>
  </si>
  <si>
    <t>Phone</t>
  </si>
  <si>
    <t>Other Total</t>
  </si>
  <si>
    <t>Total</t>
  </si>
  <si>
    <t>Budget Total</t>
  </si>
  <si>
    <t>Department (if necessary)</t>
  </si>
  <si>
    <t>Company Name</t>
  </si>
  <si>
    <t>Web Address</t>
  </si>
  <si>
    <t>Marketing Personnel</t>
  </si>
  <si>
    <t>Salaries / Wages</t>
  </si>
  <si>
    <t>Research &amp; Digital Marketing</t>
  </si>
  <si>
    <t>Commissions &amp; Bonuses</t>
  </si>
  <si>
    <t>Survey / Research Reports</t>
  </si>
  <si>
    <t>Web Development / Maintenance</t>
  </si>
  <si>
    <t>SEO / SEM  / PPC</t>
  </si>
  <si>
    <t>Domain / Hosting</t>
  </si>
  <si>
    <t xml:space="preserve">Content / Blogging </t>
  </si>
  <si>
    <t>Outbound Marketing</t>
  </si>
  <si>
    <t>Branding / ReBranding</t>
  </si>
  <si>
    <t>Graphic Design</t>
  </si>
  <si>
    <t>Consulting Fees</t>
  </si>
  <si>
    <t>Branding Collateral / Materials</t>
  </si>
  <si>
    <t>TV / Video Ads</t>
  </si>
  <si>
    <t>Paper / Magazine Ads</t>
  </si>
  <si>
    <t>Social Media Marketing (OR Training)</t>
  </si>
  <si>
    <t>Networking Fees / Memberships</t>
  </si>
  <si>
    <t>Software / Subscriptions</t>
  </si>
  <si>
    <t>Outbound Marketing Total</t>
  </si>
  <si>
    <t>Research &amp; Digital Marketing Total</t>
  </si>
  <si>
    <t xml:space="preserve">Printing </t>
  </si>
  <si>
    <t>Travel / Mileage Payouts / Events</t>
  </si>
  <si>
    <t xml:space="preserve">Hardware / Equipment </t>
  </si>
  <si>
    <t>Branding / ReBranding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</si>
</sst>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21" x14ac:knownFonts="1">
    <font>
      <sz val="12"/>
      <color theme="1" tint="0.2499465926084170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2"/>
      <scheme val="major"/>
    </font>
    <font>
      <sz val="12"/>
      <color theme="0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4" tint="-0.24994659260841701"/>
      <name val="Cambria"/>
      <family val="2"/>
      <scheme val="major"/>
    </font>
    <font>
      <b/>
      <sz val="14"/>
      <color theme="4" tint="-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9"/>
      <color indexed="81"/>
      <name val="Genev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6" tint="-0.249977111117893"/>
      <name val="Cambria"/>
      <scheme val="major"/>
    </font>
    <font>
      <b/>
      <sz val="14"/>
      <color theme="6" tint="-0.499984740745262"/>
      <name val="Calibri"/>
      <scheme val="minor"/>
    </font>
    <font>
      <b/>
      <sz val="14"/>
      <color theme="6"/>
      <name val="Calibri"/>
      <scheme val="minor"/>
    </font>
    <font>
      <sz val="12"/>
      <color rgb="FF000000"/>
      <name val="Calibri"/>
      <scheme val="minor"/>
    </font>
    <font>
      <b/>
      <sz val="14"/>
      <color rgb="FF2D506A"/>
      <name val="Calibri"/>
      <scheme val="minor"/>
    </font>
    <font>
      <b/>
      <sz val="14"/>
      <color rgb="FF567203"/>
      <name val="Calibri"/>
      <family val="2"/>
      <scheme val="minor"/>
    </font>
    <font>
      <b/>
      <sz val="12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1EBF2"/>
        <bgColor rgb="FFE1EBF2"/>
      </patternFill>
    </fill>
    <fill>
      <patternFill patternType="solid">
        <fgColor rgb="FFC5D8E7"/>
        <bgColor rgb="FFC5D8E7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/>
      <right/>
      <top/>
      <bottom style="thick">
        <color theme="6"/>
      </bottom>
      <diagonal/>
    </border>
    <border>
      <left style="thin">
        <color rgb="FFA7C5DA"/>
      </left>
      <right style="thin">
        <color rgb="FFA7C5DA"/>
      </right>
      <top style="thin">
        <color rgb="FFA7C5DA"/>
      </top>
      <bottom style="thin">
        <color rgb="FFA7C5DA"/>
      </bottom>
      <diagonal/>
    </border>
    <border>
      <left/>
      <right style="thin">
        <color rgb="FFA7C5DA"/>
      </right>
      <top style="thin">
        <color rgb="FFA7C5DA"/>
      </top>
      <bottom style="thin">
        <color rgb="FFA7C5DA"/>
      </bottom>
      <diagonal/>
    </border>
    <border>
      <left/>
      <right/>
      <top/>
      <bottom style="medium">
        <color rgb="FF6E9EC2"/>
      </bottom>
      <diagonal/>
    </border>
    <border>
      <left style="thin">
        <color rgb="FFA7C5DA"/>
      </left>
      <right style="thin">
        <color rgb="FFA7C5DA"/>
      </right>
      <top style="medium">
        <color rgb="FF6E9EC2"/>
      </top>
      <bottom style="thin">
        <color rgb="FFA7C5DA"/>
      </bottom>
      <diagonal/>
    </border>
  </borders>
  <cellStyleXfs count="28">
    <xf numFmtId="0" fontId="0" fillId="0" borderId="0"/>
    <xf numFmtId="0" fontId="8" fillId="0" borderId="1" applyNumberFormat="0" applyFill="0" applyAlignment="0" applyProtection="0"/>
    <xf numFmtId="0" fontId="6" fillId="5" borderId="2" applyNumberFormat="0" applyProtection="0">
      <alignment horizontal="right"/>
    </xf>
    <xf numFmtId="0" fontId="9" fillId="0" borderId="1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0" borderId="1" applyNumberFormat="0" applyFill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9" fillId="0" borderId="1" xfId="3"/>
    <xf numFmtId="0" fontId="8" fillId="0" borderId="1" xfId="1" applyFill="1" applyAlignment="1"/>
    <xf numFmtId="0" fontId="8" fillId="0" borderId="1" xfId="1" applyFill="1"/>
    <xf numFmtId="0" fontId="6" fillId="5" borderId="2" xfId="2">
      <alignment horizontal="right"/>
    </xf>
    <xf numFmtId="17" fontId="6" fillId="5" borderId="2" xfId="2" applyNumberFormat="1">
      <alignment horizontal="right"/>
    </xf>
    <xf numFmtId="164" fontId="6" fillId="5" borderId="2" xfId="2" applyNumberFormat="1" applyAlignment="1">
      <alignment horizontal="right" wrapText="1"/>
    </xf>
    <xf numFmtId="164" fontId="6" fillId="5" borderId="2" xfId="2" applyNumberFormat="1" applyAlignment="1">
      <alignment horizont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7" fillId="4" borderId="0" xfId="7" applyBorder="1" applyAlignment="1">
      <alignment horizontal="left" vertical="center"/>
    </xf>
    <xf numFmtId="0" fontId="7" fillId="4" borderId="0" xfId="7" applyBorder="1"/>
    <xf numFmtId="0" fontId="7" fillId="4" borderId="0" xfId="7" applyBorder="1" applyAlignment="1">
      <alignment vertical="center"/>
    </xf>
    <xf numFmtId="37" fontId="10" fillId="0" borderId="1" xfId="6" applyNumberFormat="1" applyBorder="1"/>
    <xf numFmtId="1" fontId="10" fillId="0" borderId="1" xfId="6" applyNumberFormat="1" applyBorder="1"/>
    <xf numFmtId="0" fontId="1" fillId="0" borderId="0" xfId="0" applyFont="1" applyFill="1" applyBorder="1"/>
    <xf numFmtId="0" fontId="14" fillId="0" borderId="1" xfId="1" applyFont="1" applyFill="1" applyAlignment="1"/>
    <xf numFmtId="0" fontId="15" fillId="0" borderId="1" xfId="3" applyFont="1"/>
    <xf numFmtId="0" fontId="16" fillId="0" borderId="1" xfId="3" applyFont="1" applyFill="1" applyAlignment="1">
      <alignment horizontal="right" vertical="center" wrapText="1"/>
    </xf>
    <xf numFmtId="17" fontId="16" fillId="0" borderId="1" xfId="3" applyNumberFormat="1" applyFont="1" applyFill="1" applyAlignment="1">
      <alignment horizontal="center" vertical="center"/>
    </xf>
    <xf numFmtId="0" fontId="7" fillId="4" borderId="0" xfId="7" applyBorder="1" applyAlignment="1">
      <alignment horizontal="left" vertical="center"/>
    </xf>
    <xf numFmtId="0" fontId="7" fillId="4" borderId="0" xfId="7" applyBorder="1" applyAlignment="1">
      <alignment horizontal="right"/>
    </xf>
    <xf numFmtId="0" fontId="17" fillId="6" borderId="3" xfId="0" applyFont="1" applyFill="1" applyBorder="1" applyAlignment="1">
      <alignment vertical="center" wrapText="1"/>
    </xf>
    <xf numFmtId="38" fontId="17" fillId="6" borderId="3" xfId="0" applyNumberFormat="1" applyFont="1" applyFill="1" applyBorder="1" applyAlignment="1">
      <alignment vertical="center"/>
    </xf>
    <xf numFmtId="0" fontId="17" fillId="0" borderId="0" xfId="0" applyFont="1"/>
    <xf numFmtId="37" fontId="17" fillId="6" borderId="3" xfId="0" applyNumberFormat="1" applyFont="1" applyFill="1" applyBorder="1" applyAlignment="1">
      <alignment vertical="center"/>
    </xf>
    <xf numFmtId="3" fontId="17" fillId="6" borderId="3" xfId="0" applyNumberFormat="1" applyFont="1" applyFill="1" applyBorder="1" applyAlignment="1">
      <alignment vertical="center"/>
    </xf>
    <xf numFmtId="0" fontId="17" fillId="7" borderId="3" xfId="0" applyFont="1" applyFill="1" applyBorder="1" applyAlignment="1">
      <alignment vertical="center" wrapText="1"/>
    </xf>
    <xf numFmtId="38" fontId="17" fillId="7" borderId="3" xfId="0" applyNumberFormat="1" applyFont="1" applyFill="1" applyBorder="1" applyAlignment="1">
      <alignment vertical="center"/>
    </xf>
    <xf numFmtId="37" fontId="17" fillId="7" borderId="3" xfId="0" applyNumberFormat="1" applyFont="1" applyFill="1" applyBorder="1" applyAlignment="1">
      <alignment vertical="center"/>
    </xf>
    <xf numFmtId="3" fontId="17" fillId="7" borderId="3" xfId="0" applyNumberFormat="1" applyFont="1" applyFill="1" applyBorder="1" applyAlignment="1">
      <alignment vertical="center"/>
    </xf>
    <xf numFmtId="38" fontId="17" fillId="6" borderId="4" xfId="0" applyNumberFormat="1" applyFont="1" applyFill="1" applyBorder="1" applyAlignment="1">
      <alignment vertical="center"/>
    </xf>
    <xf numFmtId="37" fontId="17" fillId="6" borderId="4" xfId="0" applyNumberFormat="1" applyFont="1" applyFill="1" applyBorder="1" applyAlignment="1">
      <alignment vertical="center"/>
    </xf>
    <xf numFmtId="3" fontId="17" fillId="6" borderId="4" xfId="0" applyNumberFormat="1" applyFont="1" applyFill="1" applyBorder="1" applyAlignment="1">
      <alignment vertical="center"/>
    </xf>
    <xf numFmtId="0" fontId="18" fillId="0" borderId="5" xfId="0" applyFont="1" applyBorder="1"/>
    <xf numFmtId="0" fontId="19" fillId="0" borderId="5" xfId="0" applyFont="1" applyBorder="1"/>
    <xf numFmtId="38" fontId="17" fillId="7" borderId="4" xfId="0" applyNumberFormat="1" applyFont="1" applyFill="1" applyBorder="1" applyAlignment="1">
      <alignment vertical="center"/>
    </xf>
    <xf numFmtId="37" fontId="17" fillId="7" borderId="4" xfId="0" applyNumberFormat="1" applyFont="1" applyFill="1" applyBorder="1" applyAlignment="1">
      <alignment vertical="center"/>
    </xf>
    <xf numFmtId="3" fontId="17" fillId="7" borderId="4" xfId="0" applyNumberFormat="1" applyFont="1" applyFill="1" applyBorder="1" applyAlignment="1">
      <alignment vertical="center"/>
    </xf>
    <xf numFmtId="0" fontId="20" fillId="6" borderId="6" xfId="0" applyFont="1" applyFill="1" applyBorder="1" applyAlignment="1">
      <alignment vertical="center" wrapText="1"/>
    </xf>
    <xf numFmtId="38" fontId="20" fillId="6" borderId="6" xfId="0" applyNumberFormat="1" applyFont="1" applyFill="1" applyBorder="1" applyAlignment="1">
      <alignment vertical="center"/>
    </xf>
    <xf numFmtId="37" fontId="20" fillId="6" borderId="6" xfId="0" applyNumberFormat="1" applyFont="1" applyFill="1" applyBorder="1" applyAlignment="1">
      <alignment vertical="center"/>
    </xf>
    <xf numFmtId="3" fontId="20" fillId="6" borderId="6" xfId="0" applyNumberFormat="1" applyFont="1" applyFill="1" applyBorder="1" applyAlignment="1">
      <alignment vertical="center"/>
    </xf>
    <xf numFmtId="0" fontId="20" fillId="6" borderId="6" xfId="0" applyFont="1" applyFill="1" applyBorder="1" applyAlignment="1">
      <alignment vertical="center"/>
    </xf>
  </cellXfs>
  <cellStyles count="28">
    <cellStyle name="60% - Accent1" xfId="4" builtinId="32" customBuiltin="1"/>
    <cellStyle name="60% - Accent3" xfId="7" builtinId="40"/>
    <cellStyle name="60% - Accent5" xfId="5" builtinId="48" customBuilti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eading 2" xfId="2" builtinId="17" customBuiltin="1"/>
    <cellStyle name="Heading 3" xfId="3" builtinId="18" customBuiltin="1"/>
    <cellStyle name="Heading 4" xfId="6" builtinId="19" customBuilti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 customBuiltin="1"/>
    <cellStyle name="Title" xfId="1" builtinId="15" customBuiltin="1"/>
  </cellStyles>
  <dxfs count="1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5" formatCode="#,##0;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5" formatCode="#,##0;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5" formatCode="#,##0;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5" formatCode="#,##0;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#,##0_);\(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numFmt numFmtId="16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theme="6" tint="-0.49998474074526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auto="1"/>
          <bgColor auto="1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/>
        <bottom/>
        <vertical/>
        <horizontal style="thin">
          <color theme="0"/>
        </horizontal>
      </border>
    </dxf>
    <dxf>
      <fill>
        <patternFill patternType="solid">
          <fgColor theme="6" tint="0.39994506668294322"/>
          <bgColor theme="6" tint="0.39994506668294322"/>
        </patternFill>
      </fill>
    </dxf>
    <dxf>
      <fill>
        <patternFill patternType="solid">
          <fgColor theme="6" tint="0.39994506668294322"/>
          <bgColor theme="6" tint="0.39994506668294322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6" tint="0.59996337778862885"/>
          <bgColor theme="6" tint="0.59996337778862885"/>
        </patternFill>
      </fill>
      <border diagonalUp="0" diagonalDown="0">
        <left/>
        <right/>
        <top/>
        <bottom/>
        <vertical/>
        <horizontal style="thin">
          <color theme="0"/>
        </horizontal>
      </border>
    </dxf>
  </dxfs>
  <tableStyles count="2" defaultTableStyle="TableStyleMedium2" defaultPivotStyle="PivotStyleLight16">
    <tableStyle name="Marketing Tables" pivot="0" count="5">
      <tableStyleElement type="wholeTable" dxfId="177"/>
      <tableStyleElement type="headerRow" dxfId="176"/>
      <tableStyleElement type="totalRow" dxfId="175"/>
      <tableStyleElement type="firstRowStripe" dxfId="174"/>
      <tableStyleElement type="firstColumnStripe" dxfId="173"/>
    </tableStyle>
    <tableStyle name="Marketing Tables Light" pivot="0" count="4">
      <tableStyleElement type="wholeTable" dxfId="172"/>
      <tableStyleElement type="headerRow" dxfId="171"/>
      <tableStyleElement type="totalRow" dxfId="170"/>
      <tableStyleElement type="firstRowStripe" dxfId="16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chartsheet" Target="chartsheets/sheet3.xml"/><Relationship Id="rId5" Type="http://schemas.openxmlformats.org/officeDocument/2006/relationships/chartsheet" Target="chartsheets/sheet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9853057893672"/>
          <c:y val="0.12531479618378"/>
          <c:w val="0.912903582202538"/>
          <c:h val="0.826807725034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'Marketing Budget Plan'!$A$11</c:f>
              <c:strCache>
                <c:ptCount val="1"/>
                <c:pt idx="0">
                  <c:v>Salaries / Wages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Plan'!$B$11:$M$11</c:f>
              <c:numCache>
                <c:formatCode>#,##0;[Red]\-#,##0</c:formatCode>
                <c:ptCount val="12"/>
                <c:pt idx="0">
                  <c:v>4000.0</c:v>
                </c:pt>
                <c:pt idx="1">
                  <c:v>4000.0</c:v>
                </c:pt>
                <c:pt idx="2">
                  <c:v>5000.0</c:v>
                </c:pt>
                <c:pt idx="3">
                  <c:v>4000.0</c:v>
                </c:pt>
                <c:pt idx="4">
                  <c:v>4000.0</c:v>
                </c:pt>
                <c:pt idx="5">
                  <c:v>5000.0</c:v>
                </c:pt>
              </c:numCache>
            </c:numRef>
          </c:val>
        </c:ser>
        <c:ser>
          <c:idx val="1"/>
          <c:order val="1"/>
          <c:tx>
            <c:strRef>
              <c:f>'Marketing Budget Plan'!$A$12</c:f>
              <c:strCache>
                <c:ptCount val="1"/>
                <c:pt idx="0">
                  <c:v>Benefits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Plan'!$B$12:$M$12</c:f>
              <c:numCache>
                <c:formatCode>#,##0;[Red]\-#,##0</c:formatCode>
                <c:ptCount val="12"/>
                <c:pt idx="0">
                  <c:v>350.0</c:v>
                </c:pt>
                <c:pt idx="1">
                  <c:v>350.0</c:v>
                </c:pt>
                <c:pt idx="2">
                  <c:v>500.0</c:v>
                </c:pt>
                <c:pt idx="3">
                  <c:v>350.0</c:v>
                </c:pt>
                <c:pt idx="4">
                  <c:v>350.0</c:v>
                </c:pt>
                <c:pt idx="5">
                  <c:v>500.0</c:v>
                </c:pt>
              </c:numCache>
            </c:numRef>
          </c:val>
        </c:ser>
        <c:ser>
          <c:idx val="2"/>
          <c:order val="2"/>
          <c:tx>
            <c:strRef>
              <c:f>'Marketing Budget Plan'!$A$13</c:f>
              <c:strCache>
                <c:ptCount val="1"/>
                <c:pt idx="0">
                  <c:v>Payroll taxes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Plan'!$B$13:$M$13</c:f>
              <c:numCache>
                <c:formatCode>#,##0;[Red]\-#,##0</c:formatCode>
                <c:ptCount val="12"/>
                <c:pt idx="0">
                  <c:v>425.0</c:v>
                </c:pt>
                <c:pt idx="1">
                  <c:v>375.0</c:v>
                </c:pt>
                <c:pt idx="2">
                  <c:v>750.0</c:v>
                </c:pt>
                <c:pt idx="3">
                  <c:v>300.0</c:v>
                </c:pt>
                <c:pt idx="4">
                  <c:v>650.0</c:v>
                </c:pt>
                <c:pt idx="5">
                  <c:v>550.0</c:v>
                </c:pt>
              </c:numCache>
            </c:numRef>
          </c:val>
        </c:ser>
        <c:ser>
          <c:idx val="3"/>
          <c:order val="3"/>
          <c:tx>
            <c:strRef>
              <c:f>'Marketing Budget Plan'!$A$14</c:f>
              <c:strCache>
                <c:ptCount val="1"/>
                <c:pt idx="0">
                  <c:v>Commissions &amp; Bonuses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Plan'!$B$14:$M$14</c:f>
              <c:numCache>
                <c:formatCode>#,##0;[Red]\-#,##0</c:formatCode>
                <c:ptCount val="12"/>
                <c:pt idx="0">
                  <c:v>1000.0</c:v>
                </c:pt>
                <c:pt idx="1">
                  <c:v>500.0</c:v>
                </c:pt>
                <c:pt idx="2">
                  <c:v>2500.0</c:v>
                </c:pt>
                <c:pt idx="3">
                  <c:v>275.0</c:v>
                </c:pt>
                <c:pt idx="4">
                  <c:v>3000.0</c:v>
                </c:pt>
                <c:pt idx="5">
                  <c:v>1025.0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140410392"/>
        <c:axId val="-2140407096"/>
      </c:barChart>
      <c:dateAx>
        <c:axId val="-21404103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-2140407096"/>
        <c:crosses val="autoZero"/>
        <c:auto val="1"/>
        <c:lblOffset val="100"/>
        <c:baseTimeUnit val="months"/>
      </c:dateAx>
      <c:valAx>
        <c:axId val="-2140407096"/>
        <c:scaling>
          <c:orientation val="minMax"/>
        </c:scaling>
        <c:delete val="0"/>
        <c:axPos val="l"/>
        <c:majorGridlines/>
        <c:numFmt formatCode="#,##0;[Red]\-#,##0" sourceLinked="1"/>
        <c:majorTickMark val="none"/>
        <c:minorTickMark val="none"/>
        <c:tickLblPos val="nextTo"/>
        <c:crossAx val="-21404103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9853057893672"/>
          <c:y val="0.12531479618378"/>
          <c:w val="0.912903582202538"/>
          <c:h val="0.826807725034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'Marketing Budget Plan'!$A$18</c:f>
              <c:strCache>
                <c:ptCount val="1"/>
                <c:pt idx="0">
                  <c:v>Survey / Research Reports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Plan'!$B$18:$M$18</c:f>
              <c:numCache>
                <c:formatCode>#,##0;[Red]\-#,##0</c:formatCode>
                <c:ptCount val="12"/>
                <c:pt idx="0">
                  <c:v>2000.0</c:v>
                </c:pt>
                <c:pt idx="1">
                  <c:v>0.0</c:v>
                </c:pt>
                <c:pt idx="2">
                  <c:v>0.0</c:v>
                </c:pt>
                <c:pt idx="3">
                  <c:v>500.0</c:v>
                </c:pt>
                <c:pt idx="4">
                  <c:v>0.0</c:v>
                </c:pt>
                <c:pt idx="5">
                  <c:v>250.0</c:v>
                </c:pt>
              </c:numCache>
            </c:numRef>
          </c:val>
        </c:ser>
        <c:ser>
          <c:idx val="1"/>
          <c:order val="1"/>
          <c:tx>
            <c:strRef>
              <c:f>'Marketing Budget Plan'!$A$19</c:f>
              <c:strCache>
                <c:ptCount val="1"/>
                <c:pt idx="0">
                  <c:v>Web Development / Maintenance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Plan'!$B$19:$M$19</c:f>
              <c:numCache>
                <c:formatCode>#,##0;[Red]\-#,##0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500.0</c:v>
                </c:pt>
                <c:pt idx="4">
                  <c:v>0.0</c:v>
                </c:pt>
                <c:pt idx="5">
                  <c:v>1500.0</c:v>
                </c:pt>
              </c:numCache>
            </c:numRef>
          </c:val>
        </c:ser>
        <c:ser>
          <c:idx val="2"/>
          <c:order val="2"/>
          <c:tx>
            <c:strRef>
              <c:f>'Marketing Budget Plan'!$A$20</c:f>
              <c:strCache>
                <c:ptCount val="1"/>
                <c:pt idx="0">
                  <c:v>SEO / SEM  / PPC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Plan'!$B$20:$M$20</c:f>
              <c:numCache>
                <c:formatCode>#,##0;[Red]\-#,##0</c:formatCode>
                <c:ptCount val="12"/>
                <c:pt idx="0">
                  <c:v>2500.0</c:v>
                </c:pt>
                <c:pt idx="1">
                  <c:v>2000.0</c:v>
                </c:pt>
                <c:pt idx="2">
                  <c:v>1500.0</c:v>
                </c:pt>
                <c:pt idx="3">
                  <c:v>2500.0</c:v>
                </c:pt>
                <c:pt idx="4">
                  <c:v>2500.0</c:v>
                </c:pt>
                <c:pt idx="5">
                  <c:v>2000.0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130249544"/>
        <c:axId val="-2130246488"/>
      </c:barChart>
      <c:dateAx>
        <c:axId val="-21302495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-2130246488"/>
        <c:crosses val="autoZero"/>
        <c:auto val="1"/>
        <c:lblOffset val="100"/>
        <c:baseTimeUnit val="months"/>
      </c:dateAx>
      <c:valAx>
        <c:axId val="-2130246488"/>
        <c:scaling>
          <c:orientation val="minMax"/>
        </c:scaling>
        <c:delete val="0"/>
        <c:axPos val="l"/>
        <c:majorGridlines/>
        <c:numFmt formatCode="#,##0;[Red]\-#,##0" sourceLinked="1"/>
        <c:majorTickMark val="none"/>
        <c:minorTickMark val="none"/>
        <c:tickLblPos val="nextTo"/>
        <c:crossAx val="-21302495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9853057893672"/>
          <c:y val="0.12531479618378"/>
          <c:w val="0.912903582202538"/>
          <c:h val="0.826807725034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'Marketing Budget Plan'!$A$28</c:f>
              <c:strCache>
                <c:ptCount val="1"/>
                <c:pt idx="0">
                  <c:v>Branding Collateral / Materials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Plan'!$B$28:$M$28</c:f>
              <c:numCache>
                <c:formatCode>#,##0;[Red]\-#,##0</c:formatCode>
                <c:ptCount val="12"/>
                <c:pt idx="0">
                  <c:v>500.0</c:v>
                </c:pt>
                <c:pt idx="1">
                  <c:v>75.0</c:v>
                </c:pt>
                <c:pt idx="2">
                  <c:v>150.0</c:v>
                </c:pt>
                <c:pt idx="3">
                  <c:v>50.0</c:v>
                </c:pt>
                <c:pt idx="4">
                  <c:v>100.0</c:v>
                </c:pt>
                <c:pt idx="5">
                  <c:v>375.0</c:v>
                </c:pt>
              </c:numCache>
            </c:numRef>
          </c:val>
        </c:ser>
        <c:ser>
          <c:idx val="1"/>
          <c:order val="1"/>
          <c:tx>
            <c:strRef>
              <c:f>'Marketing Budget Plan'!$A$29</c:f>
              <c:strCache>
                <c:ptCount val="1"/>
                <c:pt idx="0">
                  <c:v>TV / Video Ads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Plan'!$B$29:$M$29</c:f>
              <c:numCache>
                <c:formatCode>#,##0;[Red]\-#,##0</c:formatCode>
                <c:ptCount val="12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250.0</c:v>
                </c:pt>
                <c:pt idx="4">
                  <c:v>250.0</c:v>
                </c:pt>
                <c:pt idx="5">
                  <c:v>1000.0</c:v>
                </c:pt>
              </c:numCache>
            </c:numRef>
          </c:val>
        </c:ser>
        <c:ser>
          <c:idx val="2"/>
          <c:order val="2"/>
          <c:tx>
            <c:strRef>
              <c:f>'Marketing Budget Plan'!$A$30</c:f>
              <c:strCache>
                <c:ptCount val="1"/>
                <c:pt idx="0">
                  <c:v>Paper / Magazine Ads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Plan'!$B$30:$M$30</c:f>
              <c:numCache>
                <c:formatCode>#,##0;[Red]\-#,##0</c:formatCode>
                <c:ptCount val="12"/>
                <c:pt idx="0">
                  <c:v>75.0</c:v>
                </c:pt>
                <c:pt idx="1">
                  <c:v>75.0</c:v>
                </c:pt>
                <c:pt idx="2">
                  <c:v>100.0</c:v>
                </c:pt>
                <c:pt idx="3">
                  <c:v>75.0</c:v>
                </c:pt>
                <c:pt idx="4">
                  <c:v>50.0</c:v>
                </c:pt>
                <c:pt idx="5">
                  <c:v>100.0</c:v>
                </c:pt>
              </c:numCache>
            </c:numRef>
          </c:val>
        </c:ser>
        <c:ser>
          <c:idx val="3"/>
          <c:order val="3"/>
          <c:tx>
            <c:strRef>
              <c:f>'Marketing Budget Plan'!$A$31</c:f>
              <c:strCache>
                <c:ptCount val="1"/>
                <c:pt idx="0">
                  <c:v>Networking Fees / Memberships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Plan'!$B$31:$M$31</c:f>
              <c:numCache>
                <c:formatCode>#,##0;[Red]\-#,##0</c:formatCode>
                <c:ptCount val="12"/>
                <c:pt idx="0">
                  <c:v>75.0</c:v>
                </c:pt>
                <c:pt idx="1">
                  <c:v>75.0</c:v>
                </c:pt>
                <c:pt idx="2">
                  <c:v>75.0</c:v>
                </c:pt>
                <c:pt idx="3">
                  <c:v>75.0</c:v>
                </c:pt>
                <c:pt idx="4">
                  <c:v>75.0</c:v>
                </c:pt>
                <c:pt idx="5">
                  <c:v>100.0</c:v>
                </c:pt>
              </c:numCache>
            </c:numRef>
          </c:val>
        </c:ser>
        <c:ser>
          <c:idx val="4"/>
          <c:order val="4"/>
          <c:tx>
            <c:strRef>
              <c:f>'Marketing Budget Plan'!$A$32</c:f>
              <c:strCache>
                <c:ptCount val="1"/>
                <c:pt idx="0">
                  <c:v>Software / Subscriptions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Plan'!$B$32:$M$32</c:f>
              <c:numCache>
                <c:formatCode>#,##0;[Red]\-#,##0</c:formatCode>
                <c:ptCount val="12"/>
                <c:pt idx="0">
                  <c:v>250.0</c:v>
                </c:pt>
                <c:pt idx="1">
                  <c:v>400.0</c:v>
                </c:pt>
                <c:pt idx="2">
                  <c:v>150.0</c:v>
                </c:pt>
                <c:pt idx="3">
                  <c:v>0.0</c:v>
                </c:pt>
                <c:pt idx="4">
                  <c:v>0.0</c:v>
                </c:pt>
                <c:pt idx="5">
                  <c:v>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130195896"/>
        <c:axId val="-2130192776"/>
      </c:barChart>
      <c:dateAx>
        <c:axId val="-21301958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-2130192776"/>
        <c:crosses val="autoZero"/>
        <c:auto val="1"/>
        <c:lblOffset val="100"/>
        <c:baseTimeUnit val="months"/>
      </c:dateAx>
      <c:valAx>
        <c:axId val="-2130192776"/>
        <c:scaling>
          <c:orientation val="minMax"/>
        </c:scaling>
        <c:delete val="0"/>
        <c:axPos val="l"/>
        <c:majorGridlines/>
        <c:numFmt formatCode="#,##0;[Red]\-#,##0" sourceLinked="1"/>
        <c:majorTickMark val="none"/>
        <c:minorTickMark val="none"/>
        <c:tickLblPos val="nextTo"/>
        <c:crossAx val="-21301958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9853057893672"/>
          <c:y val="0.12531479618378"/>
          <c:w val="0.912903582202538"/>
          <c:h val="0.826807725034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'Marketing Budget Plan'!$A$42</c:f>
              <c:strCache>
                <c:ptCount val="1"/>
                <c:pt idx="0">
                  <c:v>Postage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Plan'!$B$42:$M$42</c:f>
              <c:numCache>
                <c:formatCode>#,##0;[Red]\-#,##0</c:formatCode>
                <c:ptCount val="12"/>
                <c:pt idx="0">
                  <c:v>20.0</c:v>
                </c:pt>
                <c:pt idx="1">
                  <c:v>75.0</c:v>
                </c:pt>
                <c:pt idx="2">
                  <c:v>0.0</c:v>
                </c:pt>
                <c:pt idx="3">
                  <c:v>15.0</c:v>
                </c:pt>
                <c:pt idx="4">
                  <c:v>0.0</c:v>
                </c:pt>
                <c:pt idx="5">
                  <c:v>45.0</c:v>
                </c:pt>
              </c:numCache>
            </c:numRef>
          </c:val>
        </c:ser>
        <c:ser>
          <c:idx val="1"/>
          <c:order val="1"/>
          <c:tx>
            <c:strRef>
              <c:f>'Marketing Budget Plan'!$A$43</c:f>
              <c:strCache>
                <c:ptCount val="1"/>
                <c:pt idx="0">
                  <c:v>Travel / Mileage Payouts / Events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Plan'!$B$43:$M$43</c:f>
              <c:numCache>
                <c:formatCode>#,##0;[Red]\-#,##0</c:formatCode>
                <c:ptCount val="12"/>
                <c:pt idx="0">
                  <c:v>175.0</c:v>
                </c:pt>
                <c:pt idx="1">
                  <c:v>75.0</c:v>
                </c:pt>
                <c:pt idx="2">
                  <c:v>175.0</c:v>
                </c:pt>
                <c:pt idx="3">
                  <c:v>6500.0</c:v>
                </c:pt>
                <c:pt idx="4">
                  <c:v>200.0</c:v>
                </c:pt>
                <c:pt idx="5">
                  <c:v>150.0</c:v>
                </c:pt>
              </c:numCache>
            </c:numRef>
          </c:val>
        </c:ser>
        <c:ser>
          <c:idx val="2"/>
          <c:order val="2"/>
          <c:tx>
            <c:strRef>
              <c:f>'Marketing Budget Plan'!$A$44</c:f>
              <c:strCache>
                <c:ptCount val="1"/>
                <c:pt idx="0">
                  <c:v>Phone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Plan'!$B$44:$M$44</c:f>
              <c:numCache>
                <c:formatCode>#,##0;[Red]\-#,##0</c:formatCode>
                <c:ptCount val="12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</c:numCache>
            </c:numRef>
          </c:val>
        </c:ser>
        <c:ser>
          <c:idx val="3"/>
          <c:order val="3"/>
          <c:tx>
            <c:strRef>
              <c:f>'Marketing Budget Plan'!$A$45</c:f>
              <c:strCache>
                <c:ptCount val="1"/>
                <c:pt idx="0">
                  <c:v>Hardware / Equipment </c:v>
                </c:pt>
              </c:strCache>
            </c:strRef>
          </c:tx>
          <c:invertIfNegative val="0"/>
          <c:cat>
            <c:numRef>
              <c:f>'Marketing Budget Plan'!$B$6:$M$6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'Marketing Budget Plan'!$B$45:$M$45</c:f>
              <c:numCache>
                <c:formatCode>#,##0;[Red]\-#,##0</c:formatCode>
                <c:ptCount val="12"/>
                <c:pt idx="0">
                  <c:v>200.0</c:v>
                </c:pt>
                <c:pt idx="1">
                  <c:v>50.0</c:v>
                </c:pt>
                <c:pt idx="2">
                  <c:v>100.0</c:v>
                </c:pt>
                <c:pt idx="3">
                  <c:v>0.0</c:v>
                </c:pt>
                <c:pt idx="4">
                  <c:v>75.0</c:v>
                </c:pt>
                <c:pt idx="5">
                  <c:v>75.0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130164808"/>
        <c:axId val="-2130161624"/>
      </c:barChart>
      <c:dateAx>
        <c:axId val="-21301648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-2130161624"/>
        <c:crosses val="autoZero"/>
        <c:auto val="1"/>
        <c:lblOffset val="100"/>
        <c:baseTimeUnit val="months"/>
      </c:dateAx>
      <c:valAx>
        <c:axId val="-2130161624"/>
        <c:scaling>
          <c:orientation val="minMax"/>
        </c:scaling>
        <c:delete val="0"/>
        <c:axPos val="l"/>
        <c:majorGridlines/>
        <c:numFmt formatCode="#,##0;[Red]\-#,##0" sourceLinked="1"/>
        <c:majorTickMark val="none"/>
        <c:minorTickMark val="none"/>
        <c:tickLblPos val="nextTo"/>
        <c:crossAx val="-21301648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15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zoomScale="15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zoomScale="15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zoomScale="15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4522" cy="58322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4522" cy="58322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4522" cy="58322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4522" cy="58322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4" name="Personnel" displayName="Personnel" ref="A11:P15" headerRowCount="0" totalsRowCount="1">
  <tableColumns count="16">
    <tableColumn id="1" name="Description" totalsRowLabel="Personnel Total" headerRowDxfId="168" totalsRowDxfId="47"/>
    <tableColumn id="3" name="Column1" totalsRowFunction="sum" headerRowDxfId="167" totalsRowDxfId="46"/>
    <tableColumn id="4" name="Column2" totalsRowFunction="sum" headerRowDxfId="166" totalsRowDxfId="45"/>
    <tableColumn id="5" name="Column3" totalsRowFunction="sum" headerRowDxfId="165" totalsRowDxfId="44"/>
    <tableColumn id="6" name="Column4" totalsRowFunction="sum" headerRowDxfId="164" totalsRowDxfId="43"/>
    <tableColumn id="7" name="Column5" totalsRowFunction="sum" headerRowDxfId="163" totalsRowDxfId="42"/>
    <tableColumn id="8" name="Column6" totalsRowFunction="sum" headerRowDxfId="162" totalsRowDxfId="41"/>
    <tableColumn id="9" name="Column7" totalsRowFunction="sum" headerRowDxfId="161" totalsRowDxfId="40"/>
    <tableColumn id="10" name="Column8" totalsRowFunction="sum" headerRowDxfId="160" totalsRowDxfId="39"/>
    <tableColumn id="11" name="Column9" totalsRowFunction="sum" headerRowDxfId="159" totalsRowDxfId="38"/>
    <tableColumn id="12" name="Column10" totalsRowFunction="sum" headerRowDxfId="158" totalsRowDxfId="37"/>
    <tableColumn id="13" name="Column11" totalsRowFunction="sum" headerRowDxfId="157" totalsRowDxfId="36"/>
    <tableColumn id="14" name="Column12" totalsRowFunction="sum" headerRowDxfId="156" totalsRowDxfId="35"/>
    <tableColumn id="15" name="Average" totalsRowFunction="custom" headerRowDxfId="155" totalsRowDxfId="34">
      <calculatedColumnFormula>IFERROR(AVERAGE(Personnel[[#This Row],[Column1]:[Column12]]),"")</calculatedColumnFormula>
      <totalsRowFormula>IFERROR(AVERAGE(Personnel[[#Totals],[Column1]:[Column12]]),"")</totalsRowFormula>
    </tableColumn>
    <tableColumn id="2" name="Total" totalsRowFunction="sum" headerRowDxfId="154" dataDxfId="153" totalsRowDxfId="33">
      <calculatedColumnFormula>SUM(Personnel[[#This Row],[Column1]:[Column12]])</calculatedColumnFormula>
    </tableColumn>
    <tableColumn id="16" name="Overview" headerRowDxfId="152" totalsRowDxfId="32"/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id="2" name="MarketResearch" displayName="MarketResearch" ref="A18:P24" headerRowCount="0">
  <tableColumns count="16">
    <tableColumn id="1" name="Description" totalsRowLabel="Research &amp; Digital Marketing Total" headerRowDxfId="151" totalsRowDxfId="51"/>
    <tableColumn id="3" name="Column1" totalsRowFunction="sum" headerRowDxfId="150" totalsRowDxfId="52"/>
    <tableColumn id="4" name="Column2" totalsRowFunction="sum" headerRowDxfId="149" totalsRowDxfId="53"/>
    <tableColumn id="5" name="Column3" totalsRowFunction="sum" headerRowDxfId="148" totalsRowDxfId="54"/>
    <tableColumn id="6" name="Column4" totalsRowFunction="sum" headerRowDxfId="147" totalsRowDxfId="55"/>
    <tableColumn id="7" name="Column5" totalsRowFunction="sum" headerRowDxfId="146" totalsRowDxfId="56"/>
    <tableColumn id="8" name="Column6" totalsRowFunction="sum" headerRowDxfId="145" totalsRowDxfId="57"/>
    <tableColumn id="9" name="Column7" totalsRowFunction="sum" headerRowDxfId="144" totalsRowDxfId="58"/>
    <tableColumn id="10" name="Column8" totalsRowFunction="sum" headerRowDxfId="143" totalsRowDxfId="59"/>
    <tableColumn id="11" name="Column9" totalsRowFunction="sum" headerRowDxfId="142" totalsRowDxfId="60"/>
    <tableColumn id="12" name="Column10" totalsRowFunction="sum" headerRowDxfId="141" totalsRowDxfId="61"/>
    <tableColumn id="13" name="Column11" totalsRowFunction="sum" headerRowDxfId="140" totalsRowDxfId="62"/>
    <tableColumn id="14" name="Column12" totalsRowFunction="sum" headerRowDxfId="139" totalsRowDxfId="63"/>
    <tableColumn id="15" name="Average" totalsRowFunction="custom" headerRowDxfId="138" totalsRowDxfId="64">
      <calculatedColumnFormula>IFERROR(AVERAGE(MarketResearch[[#This Row],[Column1]:[Column12]]),"")</calculatedColumnFormula>
      <totalsRowFormula>IFERROR(AVERAGE(MarketResearch[[#Totals],[Column1]:[Column12]]),"")</totalsRowFormula>
    </tableColumn>
    <tableColumn id="2" name="Total" totalsRowFunction="sum" headerRowDxfId="137" dataDxfId="136" totalsRowDxfId="65">
      <calculatedColumnFormula>SUM(MarketResearch[[#This Row],[Column1]:[Column12]])</calculatedColumnFormula>
    </tableColumn>
    <tableColumn id="16" name="Overview" headerRowDxfId="135" totalsRowDxfId="66"/>
  </tableColumns>
  <tableStyleInfo name="TableStyleMedium25" showFirstColumn="0" showLastColumn="0" showRowStripes="0" showColumnStripes="0"/>
</table>
</file>

<file path=xl/tables/table3.xml><?xml version="1.0" encoding="utf-8"?>
<table xmlns="http://schemas.openxmlformats.org/spreadsheetml/2006/main" id="5" name="Communications" displayName="Communications" ref="A28:P33" headerRowCount="0" totalsRowCount="1">
  <tableColumns count="16">
    <tableColumn id="1" name="Description" totalsRowLabel="Outbound Marketing Total" headerRowDxfId="134" dataDxfId="133" totalsRowDxfId="31"/>
    <tableColumn id="3" name="Column1" totalsRowFunction="sum" headerRowDxfId="132" totalsRowDxfId="30"/>
    <tableColumn id="4" name="Column2" totalsRowFunction="sum" headerRowDxfId="131" totalsRowDxfId="29"/>
    <tableColumn id="5" name="Column3" totalsRowFunction="sum" headerRowDxfId="130" totalsRowDxfId="28"/>
    <tableColumn id="6" name="Column4" totalsRowFunction="sum" headerRowDxfId="129" totalsRowDxfId="27"/>
    <tableColumn id="7" name="Column5" totalsRowFunction="sum" headerRowDxfId="128" totalsRowDxfId="26"/>
    <tableColumn id="8" name="Column6" totalsRowFunction="sum" headerRowDxfId="127" totalsRowDxfId="25"/>
    <tableColumn id="9" name="Column7" totalsRowFunction="sum" headerRowDxfId="126" totalsRowDxfId="24"/>
    <tableColumn id="10" name="Column8" totalsRowFunction="sum" headerRowDxfId="125" totalsRowDxfId="23"/>
    <tableColumn id="11" name="Column9" totalsRowFunction="sum" headerRowDxfId="124" totalsRowDxfId="22"/>
    <tableColumn id="12" name="Column10" totalsRowFunction="sum" headerRowDxfId="123" totalsRowDxfId="21"/>
    <tableColumn id="13" name="Column11" totalsRowFunction="sum" headerRowDxfId="122" totalsRowDxfId="20"/>
    <tableColumn id="14" name="Column12" totalsRowFunction="sum" headerRowDxfId="121" totalsRowDxfId="19"/>
    <tableColumn id="15" name="Average" totalsRowFunction="custom" headerRowDxfId="120" totalsRowDxfId="18">
      <calculatedColumnFormula>IFERROR(AVERAGE(Communications[[#This Row],[Column1]:[Column12]]),"")</calculatedColumnFormula>
      <totalsRowFormula>IFERROR(AVERAGE(Communications[[#Totals],[Column1]:[Column12]]),"")</totalsRowFormula>
    </tableColumn>
    <tableColumn id="16" name="Total" totalsRowFunction="sum" headerRowDxfId="119" dataDxfId="118" totalsRowDxfId="17">
      <calculatedColumnFormula>SUM(Communications[[#This Row],[Column1]:[Column12]])</calculatedColumnFormula>
    </tableColumn>
    <tableColumn id="2" name="Overview" headerRowDxfId="117" dataDxfId="116" totalsRowDxfId="16"/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id="6" name="Other" displayName="Other" ref="A42:P46" headerRowCount="0" totalsRowCount="1">
  <tableColumns count="16">
    <tableColumn id="1" name="Description" totalsRowLabel="Other Total" headerRowDxfId="115" totalsRowDxfId="15"/>
    <tableColumn id="3" name="Column1" totalsRowFunction="sum" headerRowDxfId="114" totalsRowDxfId="14"/>
    <tableColumn id="4" name="Column2" totalsRowFunction="sum" headerRowDxfId="113" totalsRowDxfId="13"/>
    <tableColumn id="5" name="Column3" totalsRowFunction="sum" headerRowDxfId="112" totalsRowDxfId="12"/>
    <tableColumn id="6" name="Column4" totalsRowFunction="sum" headerRowDxfId="111" totalsRowDxfId="11"/>
    <tableColumn id="7" name="Column5" totalsRowFunction="sum" headerRowDxfId="110" totalsRowDxfId="10"/>
    <tableColumn id="8" name="Column6" totalsRowFunction="sum" headerRowDxfId="109" totalsRowDxfId="9"/>
    <tableColumn id="9" name="Column7" totalsRowFunction="sum" headerRowDxfId="108" totalsRowDxfId="8"/>
    <tableColumn id="10" name="Column8" totalsRowFunction="sum" headerRowDxfId="107" totalsRowDxfId="7"/>
    <tableColumn id="11" name="Column9" totalsRowFunction="sum" headerRowDxfId="106" totalsRowDxfId="6"/>
    <tableColumn id="12" name="Column10" totalsRowFunction="sum" headerRowDxfId="105" totalsRowDxfId="5"/>
    <tableColumn id="13" name="Column11" totalsRowFunction="sum" headerRowDxfId="104" totalsRowDxfId="4"/>
    <tableColumn id="14" name="Column12" totalsRowFunction="sum" headerRowDxfId="103" totalsRowDxfId="3"/>
    <tableColumn id="15" name="Average" totalsRowFunction="custom" headerRowDxfId="102" totalsRowDxfId="2">
      <calculatedColumnFormula>IFERROR(AVERAGE(Other[[#This Row],[Column1]:[Column12]]),"")</calculatedColumnFormula>
      <totalsRowFormula>IFERROR(AVERAGE(Other[[#Totals],[Column1]:[Column12]]),"")</totalsRowFormula>
    </tableColumn>
    <tableColumn id="2" name="Total" totalsRowFunction="sum" headerRowDxfId="101" dataDxfId="100" totalsRowDxfId="1">
      <calculatedColumnFormula>SUM(Other[[#This Row],[Column1]:[Column12]])</calculatedColumnFormula>
    </tableColumn>
    <tableColumn id="16" name="Overview" headerRowDxfId="99" totalsRowDxfId="0"/>
  </tableColumns>
  <tableStyleInfo name="TableStyleMedium2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8:P8" headerRowCount="0" totalsRowShown="0" headerRowCellStyle="Heading 3" dataCellStyle="Heading 3">
  <tableColumns count="16">
    <tableColumn id="1" name="Description" headerRowDxfId="98" dataDxfId="97" dataCellStyle="Heading 3"/>
    <tableColumn id="2" name="Column1" headerRowDxfId="96" dataDxfId="95" dataCellStyle="Heading 4">
      <calculatedColumnFormula>SUM(Personnel[[#Totals],[Column1]]+B25+Communications[[#Totals],[Column1]]+B39+Other[[#Totals],[Column1]])</calculatedColumnFormula>
    </tableColumn>
    <tableColumn id="3" name="Column2" headerRowDxfId="94" dataDxfId="93" dataCellStyle="Heading 4">
      <calculatedColumnFormula>SUM(Personnel[[#Totals],[Column2]]+C25+Communications[[#Totals],[Column2]]+C39+Other[[#Totals],[Column2]])</calculatedColumnFormula>
    </tableColumn>
    <tableColumn id="4" name="Column3" headerRowDxfId="92" dataDxfId="91" dataCellStyle="Heading 4">
      <calculatedColumnFormula>SUM(Personnel[[#Totals],[Column3]]+D25+Communications[[#Totals],[Column3]]+D39+Other[[#Totals],[Column3]])</calculatedColumnFormula>
    </tableColumn>
    <tableColumn id="5" name="Column4" headerRowDxfId="90" dataDxfId="89" dataCellStyle="Heading 4">
      <calculatedColumnFormula>SUM(Personnel[[#Totals],[Column4]]+E25+Communications[[#Totals],[Column4]]+E39+Other[[#Totals],[Column4]])</calculatedColumnFormula>
    </tableColumn>
    <tableColumn id="6" name="Column5" headerRowDxfId="88" dataDxfId="87" dataCellStyle="Heading 4">
      <calculatedColumnFormula>SUM(Personnel[[#Totals],[Column5]]+F25+Communications[[#Totals],[Column5]]+F39+Other[[#Totals],[Column5]])</calculatedColumnFormula>
    </tableColumn>
    <tableColumn id="7" name="Column6" headerRowDxfId="86" dataDxfId="85" dataCellStyle="Heading 4">
      <calculatedColumnFormula>SUM(Personnel[[#Totals],[Column6]]+G25+Communications[[#Totals],[Column6]]+G39+Other[[#Totals],[Column6]])</calculatedColumnFormula>
    </tableColumn>
    <tableColumn id="8" name="Column7" headerRowDxfId="84" dataDxfId="83" dataCellStyle="Heading 4">
      <calculatedColumnFormula>SUM(Personnel[[#Totals],[Column7]]+H25+Communications[[#Totals],[Column7]]+H39+Other[[#Totals],[Column7]])</calculatedColumnFormula>
    </tableColumn>
    <tableColumn id="9" name="Column8" headerRowDxfId="82" dataDxfId="81" dataCellStyle="Heading 4">
      <calculatedColumnFormula>SUM(Personnel[[#Totals],[Column8]]+I25+Communications[[#Totals],[Column8]]+I39+Other[[#Totals],[Column8]])</calculatedColumnFormula>
    </tableColumn>
    <tableColumn id="10" name="Column9" headerRowDxfId="80" dataDxfId="79" dataCellStyle="Heading 4">
      <calculatedColumnFormula>SUM(Personnel[[#Totals],[Column9]]+J25+Communications[[#Totals],[Column9]]+J39+Other[[#Totals],[Column9]])</calculatedColumnFormula>
    </tableColumn>
    <tableColumn id="11" name="Column10" headerRowDxfId="78" dataDxfId="77" dataCellStyle="Heading 4">
      <calculatedColumnFormula>SUM(Personnel[[#Totals],[Column10]]+K25+Communications[[#Totals],[Column10]]+K39+Other[[#Totals],[Column10]])</calculatedColumnFormula>
    </tableColumn>
    <tableColumn id="12" name="Column11" headerRowDxfId="76" dataDxfId="75" dataCellStyle="Heading 4">
      <calculatedColumnFormula>SUM(Personnel[[#Totals],[Column11]]+L25+Communications[[#Totals],[Column11]]+L39+Other[[#Totals],[Column11]])</calculatedColumnFormula>
    </tableColumn>
    <tableColumn id="13" name="Column12" headerRowDxfId="74" dataDxfId="73" dataCellStyle="Heading 4">
      <calculatedColumnFormula>SUM(Personnel[[#Totals],[Column12]]+M25+Communications[[#Totals],[Column12]]+M39+Other[[#Totals],[Column12]])</calculatedColumnFormula>
    </tableColumn>
    <tableColumn id="14" name="Average" headerRowDxfId="72" dataDxfId="71" dataCellStyle="Heading 4">
      <calculatedColumnFormula>AVERAGE(Table1[[#All],[Column1]:[Column12]])</calculatedColumnFormula>
    </tableColumn>
    <tableColumn id="15" name="Total" headerRowDxfId="70" dataDxfId="69" dataCellStyle="Heading 4">
      <calculatedColumnFormula>SUM(B8:M8)</calculatedColumnFormula>
    </tableColumn>
    <tableColumn id="16" name="Overview" headerRowDxfId="68" dataDxfId="67" dataCellStyle="Heading 4"/>
  </tableColumns>
  <tableStyleInfo name="Marketing Tables Ligh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U55"/>
  <sheetViews>
    <sheetView showGridLines="0" tabSelected="1" workbookViewId="0">
      <selection activeCell="G46" sqref="G46"/>
    </sheetView>
  </sheetViews>
  <sheetFormatPr baseColWidth="10" defaultColWidth="9.33203125" defaultRowHeight="15" x14ac:dyDescent="0"/>
  <cols>
    <col min="1" max="1" width="29.33203125" style="3" customWidth="1"/>
    <col min="2" max="14" width="9" style="3" customWidth="1"/>
    <col min="15" max="15" width="12.33203125" style="3" customWidth="1"/>
    <col min="16" max="16" width="10.6640625" style="3" customWidth="1"/>
    <col min="17" max="16384" width="9.33203125" style="3"/>
  </cols>
  <sheetData>
    <row r="1" spans="1:21" ht="37" thickBot="1">
      <c r="A1" s="25" t="s">
        <v>3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27" t="s">
        <v>1</v>
      </c>
      <c r="P1" s="28">
        <v>42736</v>
      </c>
      <c r="R1" s="24"/>
      <c r="S1" s="24"/>
      <c r="T1" s="24"/>
      <c r="U1" s="24"/>
    </row>
    <row r="2" spans="1:2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4"/>
      <c r="R2" s="24"/>
      <c r="S2" s="24"/>
      <c r="T2" s="24"/>
      <c r="U2" s="24"/>
    </row>
    <row r="3" spans="1:21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30"/>
      <c r="P3" s="30"/>
      <c r="Q3" s="24"/>
      <c r="R3" s="24"/>
      <c r="S3" s="24"/>
      <c r="T3" s="24"/>
      <c r="U3" s="24"/>
    </row>
    <row r="4" spans="1:21">
      <c r="A4" s="21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30"/>
      <c r="P4" s="30"/>
      <c r="Q4" s="24"/>
      <c r="R4" s="24"/>
      <c r="S4" s="24"/>
      <c r="T4" s="24"/>
      <c r="U4" s="24"/>
    </row>
    <row r="5" spans="1:2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6"/>
      <c r="Q5" s="24"/>
      <c r="R5" s="24"/>
      <c r="S5" s="24"/>
      <c r="T5" s="24"/>
      <c r="U5" s="24"/>
    </row>
    <row r="6" spans="1:21" ht="31" thickBot="1">
      <c r="A6" s="12"/>
      <c r="B6" s="13">
        <f>FiscalYear</f>
        <v>42736</v>
      </c>
      <c r="C6" s="13">
        <f>DATE(YEAR(B6),MONTH(B6)+1,1)</f>
        <v>42767</v>
      </c>
      <c r="D6" s="13">
        <f t="shared" ref="D6:M6" si="0">DATE(YEAR(C6),MONTH(C6)+1,1)</f>
        <v>42795</v>
      </c>
      <c r="E6" s="13">
        <f t="shared" si="0"/>
        <v>42826</v>
      </c>
      <c r="F6" s="13">
        <f t="shared" si="0"/>
        <v>42856</v>
      </c>
      <c r="G6" s="13">
        <f t="shared" si="0"/>
        <v>42887</v>
      </c>
      <c r="H6" s="13">
        <f t="shared" si="0"/>
        <v>42917</v>
      </c>
      <c r="I6" s="13">
        <f t="shared" si="0"/>
        <v>42948</v>
      </c>
      <c r="J6" s="13">
        <f t="shared" si="0"/>
        <v>42979</v>
      </c>
      <c r="K6" s="13">
        <f t="shared" si="0"/>
        <v>43009</v>
      </c>
      <c r="L6" s="13">
        <f t="shared" si="0"/>
        <v>43040</v>
      </c>
      <c r="M6" s="13">
        <f t="shared" si="0"/>
        <v>43070</v>
      </c>
      <c r="N6" s="14" t="s">
        <v>2</v>
      </c>
      <c r="O6" s="14" t="s">
        <v>11</v>
      </c>
      <c r="P6" s="15" t="s">
        <v>0</v>
      </c>
      <c r="Q6" s="24"/>
      <c r="R6" s="24"/>
      <c r="S6" s="24"/>
      <c r="T6" s="24"/>
      <c r="U6" s="24"/>
    </row>
    <row r="7" spans="1:21" ht="16" thickTop="1">
      <c r="A7" s="24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 s="24"/>
      <c r="R7" s="24"/>
      <c r="S7" s="24"/>
      <c r="U7" s="24"/>
    </row>
    <row r="8" spans="1:21" ht="21" customHeight="1" thickBot="1">
      <c r="A8" s="26" t="s">
        <v>12</v>
      </c>
      <c r="B8" s="22">
        <f>SUM(Personnel[[#Totals],[Column1]]+B25+Communications[[#Totals],[Column1]]+B39+Other[[#Totals],[Column1]])</f>
        <v>11120</v>
      </c>
      <c r="C8" s="22">
        <f>SUM(Personnel[[#Totals],[Column2]]+C25+Communications[[#Totals],[Column2]]+C39+Other[[#Totals],[Column2]])</f>
        <v>8925</v>
      </c>
      <c r="D8" s="22">
        <f>SUM(Personnel[[#Totals],[Column3]]+D25+Communications[[#Totals],[Column3]]+D39+Other[[#Totals],[Column3]])</f>
        <v>12550</v>
      </c>
      <c r="E8" s="22">
        <f>SUM(Personnel[[#Totals],[Column4]]+E25+Communications[[#Totals],[Column4]]+E39+Other[[#Totals],[Column4]])</f>
        <v>12440</v>
      </c>
      <c r="F8" s="22">
        <f>SUM(Personnel[[#Totals],[Column5]]+F25+Communications[[#Totals],[Column5]]+F39+Other[[#Totals],[Column5]])</f>
        <v>10175</v>
      </c>
      <c r="G8" s="22">
        <f>SUM(Personnel[[#Totals],[Column6]]+G25+Communications[[#Totals],[Column6]]+G39+Other[[#Totals],[Column6]])</f>
        <v>9070</v>
      </c>
      <c r="H8" s="22">
        <f>SUM(Personnel[[#Totals],[Column7]]+H25+Communications[[#Totals],[Column7]]+H39+Other[[#Totals],[Column7]])</f>
        <v>0</v>
      </c>
      <c r="I8" s="22">
        <f>SUM(Personnel[[#Totals],[Column8]]+I25+Communications[[#Totals],[Column8]]+I39+Other[[#Totals],[Column8]])</f>
        <v>0</v>
      </c>
      <c r="J8" s="22">
        <f>SUM(Personnel[[#Totals],[Column9]]+J25+Communications[[#Totals],[Column9]]+J39+Other[[#Totals],[Column9]])</f>
        <v>0</v>
      </c>
      <c r="K8" s="22">
        <f>SUM(Personnel[[#Totals],[Column10]]+K25+Communications[[#Totals],[Column10]]+K39+Other[[#Totals],[Column10]])</f>
        <v>0</v>
      </c>
      <c r="L8" s="22">
        <f>SUM(Personnel[[#Totals],[Column11]]+L25+Communications[[#Totals],[Column11]]+L39+Other[[#Totals],[Column11]])</f>
        <v>0</v>
      </c>
      <c r="M8" s="22">
        <f>SUM(Personnel[[#Totals],[Column12]]+M25+Communications[[#Totals],[Column12]]+M39+Other[[#Totals],[Column12]])</f>
        <v>0</v>
      </c>
      <c r="N8" s="22">
        <f>AVERAGE(Table1[[#All],[Column1]:[Column12]])</f>
        <v>5356.666666666667</v>
      </c>
      <c r="O8" s="22">
        <f>SUM(B8:M8)</f>
        <v>64280</v>
      </c>
      <c r="P8" s="23"/>
      <c r="Q8" s="24"/>
      <c r="R8" s="24"/>
      <c r="S8" s="24"/>
      <c r="T8" s="24"/>
      <c r="U8" s="24"/>
    </row>
    <row r="9" spans="1:21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S9" s="24"/>
      <c r="T9" s="24"/>
      <c r="U9" s="24"/>
    </row>
    <row r="10" spans="1:21" ht="19" thickBot="1">
      <c r="A10" s="26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4"/>
      <c r="R10" s="24"/>
      <c r="S10" s="24"/>
      <c r="T10" s="24"/>
      <c r="U10" s="24"/>
    </row>
    <row r="11" spans="1:21">
      <c r="A11" s="2" t="s">
        <v>17</v>
      </c>
      <c r="B11" s="16">
        <v>4000</v>
      </c>
      <c r="C11" s="16">
        <v>4000</v>
      </c>
      <c r="D11" s="16">
        <v>5000</v>
      </c>
      <c r="E11" s="16">
        <v>4000</v>
      </c>
      <c r="F11" s="16">
        <v>4000</v>
      </c>
      <c r="G11" s="16">
        <v>5000</v>
      </c>
      <c r="H11" s="16"/>
      <c r="I11" s="16"/>
      <c r="J11" s="16"/>
      <c r="K11" s="16"/>
      <c r="L11" s="16"/>
      <c r="M11" s="16"/>
      <c r="N11" s="16">
        <f>IFERROR(AVERAGE(Personnel[[#This Row],[Column1]:[Column12]]),"")</f>
        <v>4333.333333333333</v>
      </c>
      <c r="O11" s="18">
        <f>SUM(Personnel[[#This Row],[Column1]:[Column12]])</f>
        <v>26000</v>
      </c>
      <c r="P11" s="1"/>
      <c r="Q11" s="24"/>
      <c r="R11" s="24"/>
      <c r="S11" s="24"/>
      <c r="T11" s="24"/>
      <c r="U11" s="24"/>
    </row>
    <row r="12" spans="1:21">
      <c r="A12" s="2" t="s">
        <v>4</v>
      </c>
      <c r="B12" s="16">
        <v>350</v>
      </c>
      <c r="C12" s="16">
        <v>350</v>
      </c>
      <c r="D12" s="16">
        <v>500</v>
      </c>
      <c r="E12" s="16">
        <v>350</v>
      </c>
      <c r="F12" s="16">
        <v>350</v>
      </c>
      <c r="G12" s="16">
        <v>500</v>
      </c>
      <c r="H12" s="16"/>
      <c r="I12" s="16"/>
      <c r="J12" s="16"/>
      <c r="K12" s="16"/>
      <c r="L12" s="16"/>
      <c r="M12" s="16"/>
      <c r="N12" s="16">
        <f>IFERROR(AVERAGE(Personnel[[#This Row],[Column1]:[Column12]]),"")</f>
        <v>400</v>
      </c>
      <c r="O12" s="18">
        <f>SUM(Personnel[[#This Row],[Column1]:[Column12]])</f>
        <v>2400</v>
      </c>
      <c r="P12" s="1"/>
      <c r="Q12" s="24"/>
      <c r="S12" s="24"/>
      <c r="T12" s="24"/>
      <c r="U12" s="24"/>
    </row>
    <row r="13" spans="1:21">
      <c r="A13" s="2" t="s">
        <v>5</v>
      </c>
      <c r="B13" s="16">
        <v>425</v>
      </c>
      <c r="C13" s="16">
        <v>375</v>
      </c>
      <c r="D13" s="16">
        <v>750</v>
      </c>
      <c r="E13" s="16">
        <v>300</v>
      </c>
      <c r="F13" s="16">
        <v>650</v>
      </c>
      <c r="G13" s="16">
        <v>550</v>
      </c>
      <c r="H13" s="16"/>
      <c r="I13" s="16"/>
      <c r="J13" s="16"/>
      <c r="K13" s="16"/>
      <c r="L13" s="16"/>
      <c r="M13" s="16"/>
      <c r="N13" s="16">
        <f>IFERROR(AVERAGE(Personnel[[#This Row],[Column1]:[Column12]]),"")</f>
        <v>508.33333333333331</v>
      </c>
      <c r="O13" s="18">
        <f>SUM(Personnel[[#This Row],[Column1]:[Column12]])</f>
        <v>3050</v>
      </c>
      <c r="P13" s="1"/>
      <c r="Q13" s="24"/>
      <c r="R13" s="24"/>
      <c r="S13" s="24"/>
      <c r="T13" s="24"/>
      <c r="U13" s="24"/>
    </row>
    <row r="14" spans="1:21">
      <c r="A14" s="2" t="s">
        <v>19</v>
      </c>
      <c r="B14" s="16">
        <v>1000</v>
      </c>
      <c r="C14" s="16">
        <v>500</v>
      </c>
      <c r="D14" s="16">
        <v>2500</v>
      </c>
      <c r="E14" s="16">
        <v>275</v>
      </c>
      <c r="F14" s="16">
        <v>3000</v>
      </c>
      <c r="G14" s="16">
        <v>1025</v>
      </c>
      <c r="H14" s="16"/>
      <c r="I14" s="16"/>
      <c r="J14" s="16"/>
      <c r="K14" s="16"/>
      <c r="L14" s="16"/>
      <c r="M14" s="16"/>
      <c r="N14" s="16">
        <f>IFERROR(AVERAGE(Personnel[[#This Row],[Column1]:[Column12]]),"")</f>
        <v>1383.3333333333333</v>
      </c>
      <c r="O14" s="18">
        <f>SUM(Personnel[[#This Row],[Column1]:[Column12]])</f>
        <v>8300</v>
      </c>
      <c r="P14" s="1"/>
    </row>
    <row r="15" spans="1:21">
      <c r="A15" s="2" t="s">
        <v>6</v>
      </c>
      <c r="B15" s="16">
        <f>SUBTOTAL(109,Personnel[Column1])</f>
        <v>5775</v>
      </c>
      <c r="C15" s="16">
        <f>SUBTOTAL(109,Personnel[Column2])</f>
        <v>5225</v>
      </c>
      <c r="D15" s="16">
        <f>SUBTOTAL(109,Personnel[Column3])</f>
        <v>8750</v>
      </c>
      <c r="E15" s="16">
        <f>SUBTOTAL(109,Personnel[Column4])</f>
        <v>4925</v>
      </c>
      <c r="F15" s="16">
        <f>SUBTOTAL(109,Personnel[Column5])</f>
        <v>8000</v>
      </c>
      <c r="G15" s="16">
        <f>SUBTOTAL(109,Personnel[Column6])</f>
        <v>7075</v>
      </c>
      <c r="H15" s="16">
        <f>SUBTOTAL(109,Personnel[Column7])</f>
        <v>0</v>
      </c>
      <c r="I15" s="16">
        <f>SUBTOTAL(109,Personnel[Column8])</f>
        <v>0</v>
      </c>
      <c r="J15" s="16">
        <f>SUBTOTAL(109,Personnel[Column9])</f>
        <v>0</v>
      </c>
      <c r="K15" s="16">
        <f>SUBTOTAL(109,Personnel[Column10])</f>
        <v>0</v>
      </c>
      <c r="L15" s="16">
        <f>SUBTOTAL(109,Personnel[Column11])</f>
        <v>0</v>
      </c>
      <c r="M15" s="16">
        <f>SUBTOTAL(109,Personnel[Column12])</f>
        <v>0</v>
      </c>
      <c r="N15" s="16">
        <f>IFERROR(AVERAGE(Personnel[[#Totals],[Column1]:[Column12]]),"")</f>
        <v>3312.5</v>
      </c>
      <c r="O15" s="18">
        <f>SUBTOTAL(109,Personnel[Total])</f>
        <v>39750</v>
      </c>
      <c r="P15" s="1"/>
    </row>
    <row r="17" spans="1:21" ht="19" thickBot="1">
      <c r="A17" s="26" t="s">
        <v>18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21">
      <c r="A18" s="2" t="s">
        <v>20</v>
      </c>
      <c r="B18" s="16">
        <v>2000</v>
      </c>
      <c r="C18" s="16">
        <v>0</v>
      </c>
      <c r="D18" s="16">
        <v>0</v>
      </c>
      <c r="E18" s="16">
        <v>500</v>
      </c>
      <c r="F18" s="16">
        <v>0</v>
      </c>
      <c r="G18" s="16">
        <v>250</v>
      </c>
      <c r="H18" s="16"/>
      <c r="I18" s="16"/>
      <c r="J18" s="16"/>
      <c r="K18" s="16"/>
      <c r="L18" s="16"/>
      <c r="M18" s="16"/>
      <c r="N18" s="16">
        <f>IFERROR(AVERAGE(MarketResearch[[#This Row],[Column1]:[Column12]]),"")</f>
        <v>458.33333333333331</v>
      </c>
      <c r="O18" s="18">
        <f>SUM(MarketResearch[[#This Row],[Column1]:[Column12]])</f>
        <v>2750</v>
      </c>
      <c r="P18" s="1"/>
    </row>
    <row r="19" spans="1:21">
      <c r="A19" s="2" t="s">
        <v>21</v>
      </c>
      <c r="B19" s="16">
        <v>0</v>
      </c>
      <c r="C19" s="16">
        <v>0</v>
      </c>
      <c r="D19" s="16">
        <v>0</v>
      </c>
      <c r="E19" s="16">
        <v>500</v>
      </c>
      <c r="F19" s="16">
        <v>0</v>
      </c>
      <c r="G19" s="16">
        <v>1500</v>
      </c>
      <c r="H19" s="16"/>
      <c r="I19" s="16"/>
      <c r="J19" s="16"/>
      <c r="K19" s="16"/>
      <c r="L19" s="16"/>
      <c r="M19" s="16"/>
      <c r="N19" s="16">
        <f>IFERROR(AVERAGE(MarketResearch[[#This Row],[Column1]:[Column12]]),"")</f>
        <v>333.33333333333331</v>
      </c>
      <c r="O19" s="18">
        <f>SUM(MarketResearch[[#This Row],[Column1]:[Column12]])</f>
        <v>2000</v>
      </c>
      <c r="P19" s="1"/>
      <c r="Q19" s="24"/>
    </row>
    <row r="20" spans="1:21">
      <c r="A20" s="2" t="s">
        <v>22</v>
      </c>
      <c r="B20" s="16">
        <v>2500</v>
      </c>
      <c r="C20" s="16">
        <v>2000</v>
      </c>
      <c r="D20" s="16">
        <v>1500</v>
      </c>
      <c r="E20" s="16">
        <v>2500</v>
      </c>
      <c r="F20" s="16">
        <v>2500</v>
      </c>
      <c r="G20" s="16">
        <v>2000</v>
      </c>
      <c r="H20" s="16"/>
      <c r="I20" s="16"/>
      <c r="J20" s="16"/>
      <c r="K20" s="16"/>
      <c r="L20" s="16"/>
      <c r="M20" s="16"/>
      <c r="N20" s="16">
        <f>IFERROR(AVERAGE(MarketResearch[[#This Row],[Column1]:[Column12]]),"")</f>
        <v>2166.6666666666665</v>
      </c>
      <c r="O20" s="18">
        <f>SUM(MarketResearch[[#This Row],[Column1]:[Column12]])</f>
        <v>13000</v>
      </c>
      <c r="P20" s="1"/>
    </row>
    <row r="21" spans="1:21">
      <c r="A21" s="31" t="s">
        <v>23</v>
      </c>
      <c r="B21" s="32">
        <v>75</v>
      </c>
      <c r="C21" s="32">
        <v>75</v>
      </c>
      <c r="D21" s="32">
        <v>75</v>
      </c>
      <c r="E21" s="32">
        <v>75</v>
      </c>
      <c r="F21" s="32">
        <v>75</v>
      </c>
      <c r="G21" s="32">
        <v>75</v>
      </c>
      <c r="H21" s="32"/>
      <c r="I21" s="32"/>
      <c r="J21" s="32"/>
      <c r="K21" s="32"/>
      <c r="L21" s="32"/>
      <c r="M21" s="32"/>
      <c r="N21" s="32">
        <f>AVERAGE(MarketResearch[[#This Row],[Column1]:[Column12]])</f>
        <v>75</v>
      </c>
      <c r="O21" s="34">
        <f>SUM(MarketResearch[[#This Row],[Column1]:[Column12]])</f>
        <v>450</v>
      </c>
      <c r="P21" s="35"/>
      <c r="Q21" s="33"/>
      <c r="R21" s="33"/>
      <c r="S21" s="33"/>
      <c r="T21" s="33"/>
      <c r="U21" s="33"/>
    </row>
    <row r="22" spans="1:21">
      <c r="A22" s="36" t="s">
        <v>24</v>
      </c>
      <c r="B22" s="37">
        <v>500</v>
      </c>
      <c r="C22" s="37">
        <v>1000</v>
      </c>
      <c r="D22" s="37">
        <v>2500</v>
      </c>
      <c r="E22" s="37">
        <v>500</v>
      </c>
      <c r="F22" s="37">
        <v>500</v>
      </c>
      <c r="G22" s="37">
        <v>1000</v>
      </c>
      <c r="H22" s="37"/>
      <c r="I22" s="37"/>
      <c r="J22" s="37"/>
      <c r="K22" s="37"/>
      <c r="L22" s="37"/>
      <c r="M22" s="37"/>
      <c r="N22" s="37">
        <f>AVERAGE(MarketResearch[[#This Row],[Column1]:[Column12]])</f>
        <v>1000</v>
      </c>
      <c r="O22" s="38">
        <f>SUM(MarketResearch[[#This Row],[Column1]:[Column12]])</f>
        <v>6000</v>
      </c>
      <c r="P22" s="39"/>
      <c r="Q22" s="33"/>
      <c r="R22" s="33"/>
      <c r="S22" s="33"/>
      <c r="T22" s="33"/>
      <c r="U22" s="33"/>
    </row>
    <row r="23" spans="1:21" ht="30">
      <c r="A23" s="31" t="s">
        <v>32</v>
      </c>
      <c r="B23" s="40">
        <v>1500</v>
      </c>
      <c r="C23" s="40">
        <v>500</v>
      </c>
      <c r="D23" s="40">
        <v>0</v>
      </c>
      <c r="E23" s="40">
        <v>0</v>
      </c>
      <c r="F23" s="40">
        <v>0</v>
      </c>
      <c r="G23" s="40">
        <v>500</v>
      </c>
      <c r="H23" s="40"/>
      <c r="I23" s="40"/>
      <c r="J23" s="40"/>
      <c r="K23" s="40"/>
      <c r="L23" s="40"/>
      <c r="M23" s="40"/>
      <c r="N23" s="40">
        <f>AVERAGE(MarketResearch[[#This Row],[Column1]:[Column12]])</f>
        <v>416.66666666666669</v>
      </c>
      <c r="O23" s="41">
        <f>SUM(MarketResearch[[#This Row],[Column1]:[Column12]])</f>
        <v>2500</v>
      </c>
      <c r="P23" s="42"/>
      <c r="Q23" s="33"/>
      <c r="R23" s="33"/>
      <c r="S23" s="33"/>
      <c r="T23" s="33"/>
      <c r="U23" s="33"/>
    </row>
    <row r="24" spans="1:21" ht="16" thickBot="1">
      <c r="A24" s="36" t="s">
        <v>28</v>
      </c>
      <c r="B24" s="45">
        <v>0</v>
      </c>
      <c r="C24" s="45">
        <v>0</v>
      </c>
      <c r="D24" s="45">
        <v>1500</v>
      </c>
      <c r="E24" s="45">
        <v>750</v>
      </c>
      <c r="F24" s="45">
        <v>0</v>
      </c>
      <c r="G24" s="45">
        <v>0</v>
      </c>
      <c r="H24" s="45"/>
      <c r="I24" s="45"/>
      <c r="J24" s="45"/>
      <c r="K24" s="45"/>
      <c r="L24" s="45"/>
      <c r="M24" s="45"/>
      <c r="N24" s="45">
        <f>AVERAGE(MarketResearch[[#This Row],[Column1]:[Column12]])</f>
        <v>375</v>
      </c>
      <c r="O24" s="46">
        <f>SUM(MarketResearch[[#This Row],[Column1]:[Column12]])</f>
        <v>2250</v>
      </c>
      <c r="P24" s="47"/>
      <c r="Q24" s="33"/>
      <c r="R24" s="33"/>
      <c r="S24" s="33"/>
      <c r="T24" s="33"/>
      <c r="U24" s="33"/>
    </row>
    <row r="25" spans="1:21" ht="30">
      <c r="A25" s="48" t="s">
        <v>36</v>
      </c>
      <c r="B25" s="49">
        <v>1900</v>
      </c>
      <c r="C25" s="49">
        <v>1625</v>
      </c>
      <c r="D25" s="49">
        <v>1475</v>
      </c>
      <c r="E25" s="49">
        <v>450</v>
      </c>
      <c r="F25" s="49">
        <v>475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>AVERAGE(B25:M25)</f>
        <v>493.75</v>
      </c>
      <c r="O25" s="50">
        <f>SUM(MarketResearch[[#All],[Total]])</f>
        <v>28950</v>
      </c>
      <c r="P25" s="52"/>
      <c r="Q25" s="33"/>
      <c r="R25" s="33"/>
      <c r="S25" s="33"/>
      <c r="T25" s="33"/>
      <c r="U25" s="33"/>
    </row>
    <row r="27" spans="1:21" ht="19" thickBot="1">
      <c r="A27" s="26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21">
      <c r="A28" s="2" t="s">
        <v>29</v>
      </c>
      <c r="B28" s="16">
        <v>500</v>
      </c>
      <c r="C28" s="16">
        <v>75</v>
      </c>
      <c r="D28" s="16">
        <v>150</v>
      </c>
      <c r="E28" s="16">
        <v>50</v>
      </c>
      <c r="F28" s="16">
        <v>100</v>
      </c>
      <c r="G28" s="16">
        <v>375</v>
      </c>
      <c r="H28" s="16"/>
      <c r="I28" s="16"/>
      <c r="J28" s="16"/>
      <c r="K28" s="16"/>
      <c r="L28" s="16"/>
      <c r="M28" s="16"/>
      <c r="N28" s="16">
        <f>IFERROR(AVERAGE(Communications[[#This Row],[Column1]:[Column12]]),"")</f>
        <v>208.33333333333334</v>
      </c>
      <c r="O28" s="18">
        <f>SUM(Communications[[#This Row],[Column1]:[Column12]])</f>
        <v>1250</v>
      </c>
      <c r="P28" s="1"/>
    </row>
    <row r="29" spans="1:21">
      <c r="A29" s="2" t="s">
        <v>30</v>
      </c>
      <c r="B29" s="16">
        <v>1000</v>
      </c>
      <c r="C29" s="16">
        <v>1000</v>
      </c>
      <c r="D29" s="16">
        <v>1000</v>
      </c>
      <c r="E29" s="16">
        <v>250</v>
      </c>
      <c r="F29" s="16">
        <v>250</v>
      </c>
      <c r="G29" s="16">
        <v>1000</v>
      </c>
      <c r="H29" s="16"/>
      <c r="I29" s="16"/>
      <c r="J29" s="16"/>
      <c r="K29" s="16"/>
      <c r="L29" s="16"/>
      <c r="M29" s="16"/>
      <c r="N29" s="16">
        <f>IFERROR(AVERAGE(Communications[[#This Row],[Column1]:[Column12]]),"")</f>
        <v>750</v>
      </c>
      <c r="O29" s="18">
        <f>SUM(Communications[[#This Row],[Column1]:[Column12]])</f>
        <v>4500</v>
      </c>
      <c r="P29" s="1"/>
    </row>
    <row r="30" spans="1:21">
      <c r="A30" s="2" t="s">
        <v>31</v>
      </c>
      <c r="B30" s="16">
        <v>75</v>
      </c>
      <c r="C30" s="16">
        <v>75</v>
      </c>
      <c r="D30" s="16">
        <v>100</v>
      </c>
      <c r="E30" s="16">
        <v>75</v>
      </c>
      <c r="F30" s="16">
        <v>50</v>
      </c>
      <c r="G30" s="16">
        <v>100</v>
      </c>
      <c r="H30" s="16"/>
      <c r="I30" s="16"/>
      <c r="J30" s="16"/>
      <c r="K30" s="16"/>
      <c r="L30" s="16"/>
      <c r="M30" s="16"/>
      <c r="N30" s="16">
        <f>IFERROR(AVERAGE(Communications[[#This Row],[Column1]:[Column12]]),"")</f>
        <v>79.166666666666671</v>
      </c>
      <c r="O30" s="18">
        <f>SUM(Communications[[#This Row],[Column1]:[Column12]])</f>
        <v>475</v>
      </c>
      <c r="P30" s="1"/>
    </row>
    <row r="31" spans="1:21">
      <c r="A31" s="2" t="s">
        <v>33</v>
      </c>
      <c r="B31" s="16">
        <v>75</v>
      </c>
      <c r="C31" s="16">
        <v>75</v>
      </c>
      <c r="D31" s="16">
        <v>75</v>
      </c>
      <c r="E31" s="16">
        <v>75</v>
      </c>
      <c r="F31" s="16">
        <v>75</v>
      </c>
      <c r="G31" s="16">
        <v>100</v>
      </c>
      <c r="H31" s="16"/>
      <c r="I31" s="16"/>
      <c r="J31" s="16"/>
      <c r="K31" s="16"/>
      <c r="L31" s="16"/>
      <c r="M31" s="16"/>
      <c r="N31" s="16">
        <f>IFERROR(AVERAGE(Communications[[#This Row],[Column1]:[Column12]]),"")</f>
        <v>79.166666666666671</v>
      </c>
      <c r="O31" s="18">
        <f>SUM(Communications[[#This Row],[Column1]:[Column12]])</f>
        <v>475</v>
      </c>
      <c r="P31" s="1"/>
    </row>
    <row r="32" spans="1:21">
      <c r="A32" s="2" t="s">
        <v>34</v>
      </c>
      <c r="B32" s="16">
        <v>250</v>
      </c>
      <c r="C32" s="16">
        <v>400</v>
      </c>
      <c r="D32" s="16">
        <v>150</v>
      </c>
      <c r="E32" s="16">
        <v>0</v>
      </c>
      <c r="F32" s="16">
        <v>0</v>
      </c>
      <c r="G32" s="16">
        <v>50</v>
      </c>
      <c r="H32" s="16"/>
      <c r="I32" s="16"/>
      <c r="J32" s="16"/>
      <c r="K32" s="16"/>
      <c r="L32" s="16"/>
      <c r="M32" s="16"/>
      <c r="N32" s="16">
        <f>IFERROR(AVERAGE(Communications[[#This Row],[Column1]:[Column12]]),"")</f>
        <v>141.66666666666666</v>
      </c>
      <c r="O32" s="18">
        <f>SUM(Communications[[#This Row],[Column1]:[Column12]])</f>
        <v>850</v>
      </c>
      <c r="P32" s="1"/>
    </row>
    <row r="33" spans="1:21">
      <c r="A33" s="2" t="s">
        <v>35</v>
      </c>
      <c r="B33" s="16">
        <f>SUBTOTAL(109,Communications[Column1])</f>
        <v>1900</v>
      </c>
      <c r="C33" s="16">
        <f>SUBTOTAL(109,Communications[Column2])</f>
        <v>1625</v>
      </c>
      <c r="D33" s="16">
        <f>SUBTOTAL(109,Communications[Column3])</f>
        <v>1475</v>
      </c>
      <c r="E33" s="16">
        <f>SUBTOTAL(109,Communications[Column4])</f>
        <v>450</v>
      </c>
      <c r="F33" s="16">
        <f>SUBTOTAL(109,Communications[Column5])</f>
        <v>475</v>
      </c>
      <c r="G33" s="16">
        <f>SUBTOTAL(109,Communications[Column6])</f>
        <v>1625</v>
      </c>
      <c r="H33" s="16">
        <f>SUBTOTAL(109,Communications[Column7])</f>
        <v>0</v>
      </c>
      <c r="I33" s="16">
        <f>SUBTOTAL(109,Communications[Column8])</f>
        <v>0</v>
      </c>
      <c r="J33" s="16">
        <f>SUBTOTAL(109,Communications[Column9])</f>
        <v>0</v>
      </c>
      <c r="K33" s="16">
        <f>SUBTOTAL(109,Communications[Column10])</f>
        <v>0</v>
      </c>
      <c r="L33" s="16">
        <f>SUBTOTAL(109,Communications[Column11])</f>
        <v>0</v>
      </c>
      <c r="M33" s="16">
        <f>SUBTOTAL(109,Communications[Column12])</f>
        <v>0</v>
      </c>
      <c r="N33" s="16">
        <f>IFERROR(AVERAGE(Communications[[#Totals],[Column1]:[Column12]]),"")</f>
        <v>629.16666666666663</v>
      </c>
      <c r="O33" s="18">
        <f>SUBTOTAL(109,Communications[Total])</f>
        <v>7550</v>
      </c>
      <c r="P33" s="17"/>
    </row>
    <row r="35" spans="1:21" ht="19" thickBot="1">
      <c r="A35" s="43" t="s">
        <v>26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21">
      <c r="A36" s="36" t="s">
        <v>27</v>
      </c>
      <c r="B36" s="37">
        <v>0</v>
      </c>
      <c r="C36" s="37">
        <v>0</v>
      </c>
      <c r="D36" s="37">
        <v>500</v>
      </c>
      <c r="E36" s="37">
        <v>0</v>
      </c>
      <c r="F36" s="37">
        <v>0</v>
      </c>
      <c r="G36" s="37">
        <v>250</v>
      </c>
      <c r="H36" s="37"/>
      <c r="I36" s="37"/>
      <c r="J36" s="37"/>
      <c r="K36" s="37"/>
      <c r="L36" s="37"/>
      <c r="M36" s="37"/>
      <c r="N36" s="37">
        <f>AVERAGE(B36:M36)</f>
        <v>125</v>
      </c>
      <c r="O36" s="38">
        <f>B36+C36+D36+E36+F36+G36+H36+I36+J36+K36+L36+M36</f>
        <v>750</v>
      </c>
      <c r="P36" s="39"/>
      <c r="Q36" s="33"/>
      <c r="R36" s="33"/>
      <c r="S36" s="33"/>
      <c r="T36" s="33"/>
      <c r="U36" s="33"/>
    </row>
    <row r="37" spans="1:21">
      <c r="A37" s="31" t="s">
        <v>37</v>
      </c>
      <c r="B37" s="32">
        <v>50</v>
      </c>
      <c r="C37" s="32">
        <v>150</v>
      </c>
      <c r="D37" s="32">
        <v>0</v>
      </c>
      <c r="E37" s="32">
        <v>0</v>
      </c>
      <c r="F37" s="32">
        <v>350</v>
      </c>
      <c r="G37" s="32">
        <v>75</v>
      </c>
      <c r="H37" s="32"/>
      <c r="I37" s="32"/>
      <c r="J37" s="32"/>
      <c r="K37" s="32"/>
      <c r="L37" s="32"/>
      <c r="M37" s="32"/>
      <c r="N37" s="32">
        <f>AVERAGE(B37:M37)</f>
        <v>104.16666666666667</v>
      </c>
      <c r="O37" s="34">
        <f>SUM(B37:M37)</f>
        <v>625</v>
      </c>
      <c r="P37" s="35"/>
      <c r="Q37" s="33"/>
      <c r="R37" s="33"/>
      <c r="S37" s="33"/>
      <c r="T37" s="33"/>
      <c r="U37" s="33"/>
    </row>
    <row r="38" spans="1:21" ht="16" thickBot="1">
      <c r="A38" s="36" t="s">
        <v>28</v>
      </c>
      <c r="B38" s="45">
        <v>1000</v>
      </c>
      <c r="C38" s="45">
        <v>0</v>
      </c>
      <c r="D38" s="45">
        <v>0</v>
      </c>
      <c r="E38" s="45">
        <v>0</v>
      </c>
      <c r="F38" s="45">
        <v>500</v>
      </c>
      <c r="G38" s="45">
        <v>0</v>
      </c>
      <c r="H38" s="45"/>
      <c r="I38" s="45"/>
      <c r="J38" s="45"/>
      <c r="K38" s="45"/>
      <c r="L38" s="45"/>
      <c r="M38" s="45"/>
      <c r="N38" s="45">
        <f>AVERAGE(B38:M38)</f>
        <v>250</v>
      </c>
      <c r="O38" s="46">
        <f>SUM(B38:M38)</f>
        <v>1500</v>
      </c>
      <c r="P38" s="47"/>
      <c r="Q38" s="33"/>
      <c r="R38" s="33"/>
      <c r="S38" s="33"/>
      <c r="T38" s="33"/>
      <c r="U38" s="33"/>
    </row>
    <row r="39" spans="1:21">
      <c r="A39" s="48" t="s">
        <v>40</v>
      </c>
      <c r="B39" s="49">
        <f>SUM(B36:B38)</f>
        <v>1050</v>
      </c>
      <c r="C39" s="49">
        <f>SUM(C36:C38)</f>
        <v>150</v>
      </c>
      <c r="D39" s="49">
        <v>475</v>
      </c>
      <c r="E39" s="49">
        <f>SUM(E36:E38)</f>
        <v>0</v>
      </c>
      <c r="F39" s="49">
        <f>SUM(F36:F38)</f>
        <v>850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>AVERAGE(N36:N38)</f>
        <v>159.72222222222223</v>
      </c>
      <c r="O39" s="50">
        <f>SUM(O36:O38)</f>
        <v>2875</v>
      </c>
      <c r="P39" s="51"/>
      <c r="Q39" s="33"/>
      <c r="R39" s="33"/>
      <c r="S39" s="33"/>
      <c r="T39" s="33"/>
      <c r="U39" s="33"/>
    </row>
    <row r="40" spans="1:21">
      <c r="Q40" s="33"/>
      <c r="R40" s="33"/>
      <c r="S40" s="33"/>
      <c r="T40" s="33"/>
      <c r="U40" s="33"/>
    </row>
    <row r="41" spans="1:21" ht="19" thickBot="1">
      <c r="A41" s="26" t="s">
        <v>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21">
      <c r="A42" s="2" t="s">
        <v>8</v>
      </c>
      <c r="B42" s="16">
        <v>20</v>
      </c>
      <c r="C42" s="16">
        <v>75</v>
      </c>
      <c r="D42" s="16">
        <v>0</v>
      </c>
      <c r="E42" s="16">
        <v>15</v>
      </c>
      <c r="F42" s="16">
        <v>0</v>
      </c>
      <c r="G42" s="16">
        <v>45</v>
      </c>
      <c r="H42" s="16"/>
      <c r="I42" s="16"/>
      <c r="J42" s="16"/>
      <c r="K42" s="16"/>
      <c r="L42" s="16"/>
      <c r="M42" s="16"/>
      <c r="N42" s="16">
        <f>IFERROR(AVERAGE(Other[[#This Row],[Column1]:[Column12]]),"")</f>
        <v>25.833333333333332</v>
      </c>
      <c r="O42" s="18">
        <f>SUM(Other[[#This Row],[Column1]:[Column12]])</f>
        <v>155</v>
      </c>
      <c r="P42" s="1"/>
    </row>
    <row r="43" spans="1:21">
      <c r="A43" s="2" t="s">
        <v>38</v>
      </c>
      <c r="B43" s="16">
        <v>175</v>
      </c>
      <c r="C43" s="16">
        <v>75</v>
      </c>
      <c r="D43" s="16">
        <v>175</v>
      </c>
      <c r="E43" s="16">
        <v>6500</v>
      </c>
      <c r="F43" s="16">
        <v>200</v>
      </c>
      <c r="G43" s="16">
        <v>150</v>
      </c>
      <c r="H43" s="16"/>
      <c r="I43" s="16"/>
      <c r="J43" s="16"/>
      <c r="K43" s="16"/>
      <c r="L43" s="16"/>
      <c r="M43" s="16"/>
      <c r="N43" s="16">
        <f>IFERROR(AVERAGE(Other[[#This Row],[Column1]:[Column12]]),"")</f>
        <v>1212.5</v>
      </c>
      <c r="O43" s="18">
        <f>SUM(Other[[#This Row],[Column1]:[Column12]])</f>
        <v>7275</v>
      </c>
      <c r="P43" s="1"/>
    </row>
    <row r="44" spans="1:21">
      <c r="A44" s="2" t="s">
        <v>9</v>
      </c>
      <c r="B44" s="16">
        <v>100</v>
      </c>
      <c r="C44" s="16">
        <v>100</v>
      </c>
      <c r="D44" s="16">
        <v>100</v>
      </c>
      <c r="E44" s="16">
        <v>100</v>
      </c>
      <c r="F44" s="16">
        <v>100</v>
      </c>
      <c r="G44" s="16">
        <v>100</v>
      </c>
      <c r="H44" s="16"/>
      <c r="I44" s="16"/>
      <c r="J44" s="16"/>
      <c r="K44" s="16"/>
      <c r="L44" s="16"/>
      <c r="M44" s="16"/>
      <c r="N44" s="16">
        <f>IFERROR(AVERAGE(Other[[#This Row],[Column1]:[Column12]]),"")</f>
        <v>100</v>
      </c>
      <c r="O44" s="18">
        <f>SUM(Other[[#This Row],[Column1]:[Column12]])</f>
        <v>600</v>
      </c>
      <c r="P44" s="1"/>
    </row>
    <row r="45" spans="1:21">
      <c r="A45" s="2" t="s">
        <v>39</v>
      </c>
      <c r="B45" s="16">
        <v>200</v>
      </c>
      <c r="C45" s="16">
        <v>50</v>
      </c>
      <c r="D45" s="16">
        <v>100</v>
      </c>
      <c r="E45" s="16">
        <v>0</v>
      </c>
      <c r="F45" s="16">
        <v>75</v>
      </c>
      <c r="G45" s="16">
        <v>75</v>
      </c>
      <c r="H45" s="16"/>
      <c r="I45" s="16"/>
      <c r="J45" s="16"/>
      <c r="K45" s="16"/>
      <c r="L45" s="16"/>
      <c r="M45" s="16"/>
      <c r="N45" s="16">
        <f>IFERROR(AVERAGE(Other[[#This Row],[Column1]:[Column12]]),"")</f>
        <v>83.333333333333329</v>
      </c>
      <c r="O45" s="18">
        <f>SUM(Other[[#This Row],[Column1]:[Column12]])</f>
        <v>500</v>
      </c>
      <c r="P45" s="1"/>
    </row>
    <row r="46" spans="1:21">
      <c r="A46" s="2" t="s">
        <v>10</v>
      </c>
      <c r="B46" s="16">
        <f>SUBTOTAL(109,Other[Column1])</f>
        <v>495</v>
      </c>
      <c r="C46" s="16">
        <f>SUBTOTAL(109,Other[Column2])</f>
        <v>300</v>
      </c>
      <c r="D46" s="16">
        <f>SUBTOTAL(109,Other[Column3])</f>
        <v>375</v>
      </c>
      <c r="E46" s="16">
        <f>SUBTOTAL(109,Other[Column4])</f>
        <v>6615</v>
      </c>
      <c r="F46" s="16">
        <f>SUBTOTAL(109,Other[Column5])</f>
        <v>375</v>
      </c>
      <c r="G46" s="16">
        <f>SUBTOTAL(109,Other[Column6])</f>
        <v>370</v>
      </c>
      <c r="H46" s="16">
        <f>SUBTOTAL(109,Other[Column7])</f>
        <v>0</v>
      </c>
      <c r="I46" s="16">
        <f>SUBTOTAL(109,Other[Column8])</f>
        <v>0</v>
      </c>
      <c r="J46" s="16">
        <f>SUBTOTAL(109,Other[Column9])</f>
        <v>0</v>
      </c>
      <c r="K46" s="16">
        <f>SUBTOTAL(109,Other[Column10])</f>
        <v>0</v>
      </c>
      <c r="L46" s="16">
        <f>SUBTOTAL(109,Other[Column11])</f>
        <v>0</v>
      </c>
      <c r="M46" s="16">
        <f>SUBTOTAL(109,Other[Column12])</f>
        <v>0</v>
      </c>
      <c r="N46" s="16">
        <f>IFERROR(AVERAGE(Other[[#Totals],[Column1]:[Column12]]),"")</f>
        <v>710.83333333333337</v>
      </c>
      <c r="O46" s="18">
        <f>SUBTOTAL(109,Other[Total])</f>
        <v>8530</v>
      </c>
      <c r="P46" s="1"/>
    </row>
    <row r="48" spans="1:21">
      <c r="F48"/>
      <c r="P48" s="24"/>
    </row>
    <row r="49" spans="15:17">
      <c r="O49" s="24"/>
    </row>
    <row r="50" spans="15:17">
      <c r="O50" s="24"/>
      <c r="P50" s="24"/>
      <c r="Q50" s="24"/>
    </row>
    <row r="51" spans="15:17">
      <c r="O51" s="24"/>
      <c r="P51" s="24"/>
      <c r="Q51" s="24"/>
    </row>
    <row r="52" spans="15:17">
      <c r="O52" s="24"/>
      <c r="P52" s="24"/>
      <c r="Q52" s="24"/>
    </row>
    <row r="53" spans="15:17">
      <c r="O53" s="24"/>
      <c r="P53" s="24"/>
      <c r="Q53" s="24"/>
    </row>
    <row r="54" spans="15:17">
      <c r="O54" s="24"/>
      <c r="P54" s="24"/>
      <c r="Q54" s="24"/>
    </row>
    <row r="55" spans="15:17">
      <c r="Q55" s="24"/>
    </row>
  </sheetData>
  <mergeCells count="3">
    <mergeCell ref="A2:P2"/>
    <mergeCell ref="O3:P3"/>
    <mergeCell ref="O4:P4"/>
  </mergeCells>
  <conditionalFormatting sqref="B9:O9 O42:O45 O18:O20 N11:O14 N28:N32">
    <cfRule type="cellIs" dxfId="50" priority="13" operator="lessThan">
      <formula>0</formula>
    </cfRule>
  </conditionalFormatting>
  <conditionalFormatting sqref="N18:N20">
    <cfRule type="cellIs" dxfId="49" priority="3" operator="lessThan">
      <formula>0</formula>
    </cfRule>
  </conditionalFormatting>
  <conditionalFormatting sqref="N42:N45">
    <cfRule type="cellIs" dxfId="48" priority="1" operator="lessThan">
      <formula>0</formula>
    </cfRule>
  </conditionalFormatting>
  <pageMargins left="0.7" right="0.7" top="0.75" bottom="0.75" header="0.3" footer="0.3"/>
  <headerFooter>
    <evenFooter>&amp;LPrint Date: &amp;D&amp;RPage &amp;P of &amp;N</evenFooter>
  </headerFooter>
  <ignoredErrors>
    <ignoredError sqref="N9:O10" calculatedColumn="1"/>
    <ignoredError sqref="N41:N45 O41:O45 O11:O20 N11:N20 O26:O32 N26:N34 O34" emptyCellReference="1" calculatedColumn="1"/>
  </ignoredErrors>
  <legacyDrawing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 negative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'Marketing Budget Plan'!B25:M25</xm:f>
              <xm:sqref>P25</xm:sqref>
            </x14:sparkline>
          </x14:sparklines>
        </x14:sparklineGroup>
        <x14:sparklineGroup displayEmptyCellsAs="gap" high="1" low="1" negative="1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'Marketing Budget Plan'!B24:M24</xm:f>
              <xm:sqref>P24</xm:sqref>
            </x14:sparkline>
          </x14:sparklines>
        </x14:sparklineGroup>
        <x14:sparklineGroup displayEmptyCellsAs="gap" high="1" low="1" negative="1">
          <x14:colorSeries theme="7" tint="-0.499984740745262"/>
          <x14:colorNegative theme="8"/>
          <x14:colorAxis rgb="FF000000"/>
          <x14:colorMarkers theme="7" tint="-0.499984740745262"/>
          <x14:colorFirst theme="7" tint="0.39997558519241921"/>
          <x14:colorLast theme="7" tint="0.39997558519241921"/>
          <x14:colorHigh theme="7"/>
          <x14:colorLow theme="7"/>
          <x14:sparklines>
            <x14:sparkline>
              <xm:f>'Marketing Budget Plan'!B23:M23</xm:f>
              <xm:sqref>P23</xm:sqref>
            </x14:sparkline>
          </x14:sparklines>
        </x14:sparklineGroup>
        <x14:sparklineGroup displayEmptyCellsAs="gap" high="1" low="1" negative="1">
          <x14:colorSeries theme="7" tint="-0.499984740745262"/>
          <x14:colorNegative theme="8"/>
          <x14:colorAxis rgb="FF000000"/>
          <x14:colorMarkers theme="7" tint="-0.499984740745262"/>
          <x14:colorFirst theme="7" tint="0.39997558519241921"/>
          <x14:colorLast theme="7" tint="0.39997558519241921"/>
          <x14:colorHigh theme="7"/>
          <x14:colorLow theme="7"/>
          <x14:sparklines>
            <x14:sparkline>
              <xm:f>'Marketing Budget Plan'!B22:M22</xm:f>
              <xm:sqref>P22</xm:sqref>
            </x14:sparkline>
          </x14:sparklines>
        </x14:sparklineGroup>
        <x14:sparklineGroup displayEmptyCellsAs="gap" high="1" low="1" negative="1">
          <x14:colorSeries theme="7" tint="-0.499984740745262"/>
          <x14:colorNegative theme="8"/>
          <x14:colorAxis rgb="FF000000"/>
          <x14:colorMarkers theme="7" tint="-0.499984740745262"/>
          <x14:colorFirst theme="7" tint="0.39997558519241921"/>
          <x14:colorLast theme="7" tint="0.39997558519241921"/>
          <x14:colorHigh theme="7"/>
          <x14:colorLow theme="7"/>
          <x14:sparklines>
            <x14:sparkline>
              <xm:f>'Marketing Budget Plan'!B21:M21</xm:f>
              <xm:sqref>P21</xm:sqref>
            </x14:sparkline>
          </x14:sparklines>
        </x14:sparklineGroup>
        <x14:sparklineGroup type="column" displayEmptyCellsAs="gap" high="1" low="1" negative="1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'Marketing Budget Plan'!B39:M39</xm:f>
              <xm:sqref>P39</xm:sqref>
            </x14:sparkline>
          </x14:sparklines>
        </x14:sparklineGroup>
        <x14:sparklineGroup displayEmptyCellsAs="gap" high="1" low="1" negative="1">
          <x14:colorSeries theme="7" tint="-0.499984740745262"/>
          <x14:colorNegative theme="8"/>
          <x14:colorAxis rgb="FF000000"/>
          <x14:colorMarkers theme="7" tint="-0.499984740745262"/>
          <x14:colorFirst theme="7" tint="0.39997558519241921"/>
          <x14:colorLast theme="7" tint="0.39997558519241921"/>
          <x14:colorHigh theme="7"/>
          <x14:colorLow theme="7"/>
          <x14:sparklines>
            <x14:sparkline>
              <xm:f>'Marketing Budget Plan'!B38:M38</xm:f>
              <xm:sqref>P38</xm:sqref>
            </x14:sparkline>
          </x14:sparklines>
        </x14:sparklineGroup>
        <x14:sparklineGroup displayEmptyCellsAs="gap" high="1" low="1" negative="1">
          <x14:colorSeries theme="7" tint="-0.499984740745262"/>
          <x14:colorNegative theme="8"/>
          <x14:colorAxis rgb="FF000000"/>
          <x14:colorMarkers theme="7" tint="-0.499984740745262"/>
          <x14:colorFirst theme="7" tint="0.39997558519241921"/>
          <x14:colorLast theme="7" tint="0.39997558519241921"/>
          <x14:colorHigh theme="7"/>
          <x14:colorLow theme="7"/>
          <x14:sparklines>
            <x14:sparkline>
              <xm:f>'Marketing Budget Plan'!B37:M37</xm:f>
              <xm:sqref>P37</xm:sqref>
            </x14:sparkline>
          </x14:sparklines>
        </x14:sparklineGroup>
        <x14:sparklineGroup displayEmptyCellsAs="gap" high="1" low="1" negative="1">
          <x14:colorSeries theme="7" tint="-0.499984740745262"/>
          <x14:colorNegative theme="8"/>
          <x14:colorAxis rgb="FF000000"/>
          <x14:colorMarkers theme="7" tint="-0.499984740745262"/>
          <x14:colorFirst theme="7" tint="0.39997558519241921"/>
          <x14:colorLast theme="7" tint="0.39997558519241921"/>
          <x14:colorHigh theme="7"/>
          <x14:colorLow theme="7"/>
          <x14:sparklines>
            <x14:sparkline>
              <xm:f>'Marketing Budget Plan'!B36:M36</xm:f>
              <xm:sqref>P36</xm:sqref>
            </x14:sparkline>
          </x14:sparklines>
        </x14:sparklineGroup>
        <x14:sparklineGroup manualMax="0" manualMin="0" displayEmptyCellsAs="gap" high="1" low="1" negative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'Marketing Budget Plan'!B11:M11</xm:f>
              <xm:sqref>P11</xm:sqref>
            </x14:sparkline>
            <x14:sparkline>
              <xm:f>'Marketing Budget Plan'!B20:M20</xm:f>
              <xm:sqref>P20</xm:sqref>
            </x14:sparkline>
            <x14:sparkline>
              <xm:f>'Marketing Budget Plan'!B19:M19</xm:f>
              <xm:sqref>P19</xm:sqref>
            </x14:sparkline>
            <x14:sparkline>
              <xm:f>'Marketing Budget Plan'!B18:M18</xm:f>
              <xm:sqref>P18</xm:sqref>
            </x14:sparkline>
            <x14:sparkline>
              <xm:f>'Marketing Budget Plan'!B14:M14</xm:f>
              <xm:sqref>P14</xm:sqref>
            </x14:sparkline>
            <x14:sparkline>
              <xm:f>'Marketing Budget Plan'!B13:M13</xm:f>
              <xm:sqref>P13</xm:sqref>
            </x14:sparkline>
            <x14:sparkline>
              <xm:f>'Marketing Budget Plan'!B12:M12</xm:f>
              <xm:sqref>P12</xm:sqref>
            </x14:sparkline>
            <x14:sparkline>
              <xm:f>'Marketing Budget Plan'!C28:N28</xm:f>
              <xm:sqref>P28</xm:sqref>
            </x14:sparkline>
            <x14:sparkline>
              <xm:f>'Marketing Budget Plan'!C29:N29</xm:f>
              <xm:sqref>P29</xm:sqref>
            </x14:sparkline>
            <x14:sparkline>
              <xm:f>'Marketing Budget Plan'!C30:N30</xm:f>
              <xm:sqref>P30</xm:sqref>
            </x14:sparkline>
            <x14:sparkline>
              <xm:f>'Marketing Budget Plan'!C31:N31</xm:f>
              <xm:sqref>P31</xm:sqref>
            </x14:sparkline>
            <x14:sparkline>
              <xm:f>'Marketing Budget Plan'!C32:N32</xm:f>
              <xm:sqref>P32</xm:sqref>
            </x14:sparkline>
            <x14:sparkline>
              <xm:f>'Marketing Budget Plan'!B42:M42</xm:f>
              <xm:sqref>P42</xm:sqref>
            </x14:sparkline>
            <x14:sparkline>
              <xm:f>'Marketing Budget Plan'!B43:M43</xm:f>
              <xm:sqref>P43</xm:sqref>
            </x14:sparkline>
            <x14:sparkline>
              <xm:f>'Marketing Budget Plan'!B44:M44</xm:f>
              <xm:sqref>P44</xm:sqref>
            </x14:sparkline>
            <x14:sparkline>
              <xm:f>'Marketing Budget Plan'!B45:M45</xm:f>
              <xm:sqref>P45</xm:sqref>
            </x14:sparkline>
          </x14:sparklines>
        </x14:sparklineGroup>
        <x14:sparklineGroup manualMax="0" manualMin="0" type="column" displayEmptyCellsAs="gap" high="1" low="1" negative="1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'Marketing Budget Plan'!B46:M46</xm:f>
              <xm:sqref>P46</xm:sqref>
            </x14:sparkline>
            <x14:sparkline>
              <xm:f>'Marketing Budget Plan'!B8:M8</xm:f>
              <xm:sqref>P8</xm:sqref>
            </x14:sparkline>
            <x14:sparkline>
              <xm:f>'Marketing Budget Plan'!B15:M15</xm:f>
              <xm:sqref>P15</xm:sqref>
            </x14:sparkline>
            <x14:sparkline>
              <xm:f>'Marketing Budget Plan'!C33:N33</xm:f>
              <xm:sqref>P33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Marketing Budget Plan</vt:lpstr>
      <vt:lpstr>Chart1</vt:lpstr>
      <vt:lpstr>Chart2</vt:lpstr>
      <vt:lpstr>Chart3</vt:lpstr>
      <vt:lpstr>Chart4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Crystal</cp:lastModifiedBy>
  <cp:lastPrinted>2010-04-09T18:03:12Z</cp:lastPrinted>
  <dcterms:created xsi:type="dcterms:W3CDTF">2010-04-05T15:18:52Z</dcterms:created>
  <dcterms:modified xsi:type="dcterms:W3CDTF">2016-08-15T22:56:43Z</dcterms:modified>
  <cp:category/>
</cp:coreProperties>
</file>